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https://daicelgroup-my.sharepoint.com/personal/dc92056_daicelgroup_com/Documents/デスクトップ/以前のデスクトップ/環境調査対応/定型文　新社名/"/>
    </mc:Choice>
  </mc:AlternateContent>
  <xr:revisionPtr revIDLastSave="1" documentId="8_{745211BF-C46D-425E-B8E0-1DA8F5809069}" xr6:coauthVersionLast="47" xr6:coauthVersionMax="47" xr10:uidLastSave="{8DC8B8FA-6E02-410E-B20E-0772E30A80CE}"/>
  <workbookProtection workbookAlgorithmName="SHA-512" workbookHashValue="wDO72AnhxIokwyKVRtq9mCq6vPZY+g2fC2+KVhYi7Ax9D8wT9uw51HUS2o+Ye020zOxf4ZwAXlSeM2ISlu2EWg==" workbookSaltValue="SR2VeyLbwJAGSjE/ZObH9g==" workbookSpinCount="100000" lockStructure="1"/>
  <bookViews>
    <workbookView xWindow="2540" yWindow="2540" windowWidth="14400" windowHeight="8170" tabRatio="789" firstSheet="3"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AB2501" i="5"/>
  <c r="C2502" i="5"/>
  <c r="AB2502" i="5"/>
  <c r="C2503" i="5"/>
  <c r="AB2503" i="5"/>
  <c r="V2500" i="5"/>
  <c r="E2500" i="5"/>
  <c r="X2500" i="5" s="1"/>
  <c r="V2501" i="5"/>
  <c r="E2501" i="5"/>
  <c r="X2501" i="5" s="1"/>
  <c r="V2502" i="5"/>
  <c r="E2502" i="5"/>
  <c r="X2502" i="5" s="1"/>
  <c r="V2503" i="5"/>
  <c r="E2503" i="5"/>
  <c r="X2503" i="5" s="1"/>
  <c r="B2500" i="5"/>
  <c r="T2500" i="5"/>
  <c r="B2501" i="5"/>
  <c r="T2501" i="5"/>
  <c r="B2502" i="5"/>
  <c r="T2502" i="5"/>
  <c r="B2503" i="5"/>
  <c r="T2503" i="5"/>
  <c r="S2500" i="5"/>
  <c r="S2501" i="5"/>
  <c r="S2502" i="5"/>
  <c r="S2503" i="5"/>
  <c r="R2500" i="5"/>
  <c r="R2501" i="5"/>
  <c r="R2502" i="5"/>
  <c r="R2503" i="5"/>
  <c r="C2499" i="5"/>
  <c r="V2499" i="5"/>
  <c r="J2499" i="5"/>
  <c r="J2500" i="5"/>
  <c r="J2501" i="5"/>
  <c r="J2502" i="5"/>
  <c r="J2503" i="5"/>
  <c r="I2499" i="5"/>
  <c r="I2500" i="5"/>
  <c r="I2501" i="5"/>
  <c r="I2502" i="5"/>
  <c r="I2503" i="5"/>
  <c r="H2499" i="5"/>
  <c r="H2500" i="5"/>
  <c r="H2501" i="5"/>
  <c r="H2502" i="5"/>
  <c r="H2503" i="5"/>
  <c r="F2500" i="5"/>
  <c r="G2500" i="5"/>
  <c r="F2501" i="5"/>
  <c r="G2501" i="5"/>
  <c r="F2502" i="5"/>
  <c r="G2502" i="5"/>
  <c r="F2503"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C12" i="5"/>
  <c r="AB12" i="5"/>
  <c r="V12" i="5"/>
  <c r="E12" i="5"/>
  <c r="X12" i="5" s="1"/>
  <c r="B12" i="5"/>
  <c r="T12" i="5"/>
  <c r="S12" i="5"/>
  <c r="R12" i="5"/>
  <c r="J12" i="5"/>
  <c r="I12" i="5"/>
  <c r="H12" i="5"/>
  <c r="G12" i="5"/>
  <c r="F12" i="5"/>
  <c r="C11" i="5"/>
  <c r="AB11" i="5"/>
  <c r="V11" i="5"/>
  <c r="E11" i="5"/>
  <c r="X11" i="5" s="1"/>
  <c r="B11" i="5"/>
  <c r="T11" i="5"/>
  <c r="S11" i="5"/>
  <c r="R11" i="5"/>
  <c r="J11" i="5"/>
  <c r="I11" i="5"/>
  <c r="H11" i="5"/>
  <c r="G11" i="5"/>
  <c r="F11" i="5"/>
  <c r="C10" i="5"/>
  <c r="AB10" i="5"/>
  <c r="V10" i="5"/>
  <c r="E10" i="5"/>
  <c r="X10" i="5" s="1"/>
  <c r="B10" i="5"/>
  <c r="T10" i="5"/>
  <c r="S10" i="5"/>
  <c r="R10" i="5"/>
  <c r="J10" i="5"/>
  <c r="I10" i="5"/>
  <c r="H10" i="5"/>
  <c r="G10" i="5"/>
  <c r="F10" i="5"/>
  <c r="C9" i="5"/>
  <c r="AB9" i="5"/>
  <c r="V9" i="5"/>
  <c r="E9" i="5"/>
  <c r="X9" i="5" s="1"/>
  <c r="B9" i="5"/>
  <c r="T9" i="5"/>
  <c r="S9" i="5"/>
  <c r="R9" i="5"/>
  <c r="J9" i="5"/>
  <c r="I9" i="5"/>
  <c r="H9" i="5"/>
  <c r="G9" i="5"/>
  <c r="F9" i="5"/>
  <c r="C8" i="5"/>
  <c r="AB8" i="5"/>
  <c r="V8" i="5"/>
  <c r="E8" i="5"/>
  <c r="X8" i="5" s="1"/>
  <c r="B8" i="5"/>
  <c r="T8" i="5"/>
  <c r="S8" i="5"/>
  <c r="R8" i="5"/>
  <c r="J8" i="5"/>
  <c r="I8" i="5"/>
  <c r="H8" i="5"/>
  <c r="G8" i="5"/>
  <c r="F8" i="5"/>
  <c r="C7" i="5"/>
  <c r="AB7" i="5"/>
  <c r="V7" i="5"/>
  <c r="E7" i="5"/>
  <c r="X7" i="5" s="1"/>
  <c r="B7" i="5"/>
  <c r="T7" i="5"/>
  <c r="S7" i="5"/>
  <c r="R7" i="5"/>
  <c r="J7" i="5"/>
  <c r="I7" i="5"/>
  <c r="H7" i="5"/>
  <c r="G7" i="5"/>
  <c r="F7" i="5"/>
  <c r="C6" i="5"/>
  <c r="AB6" i="5"/>
  <c r="V6" i="5"/>
  <c r="E6" i="5"/>
  <c r="X6" i="5" s="1"/>
  <c r="B6" i="5"/>
  <c r="T6" i="5"/>
  <c r="S6" i="5"/>
  <c r="R6" i="5"/>
  <c r="J6" i="5"/>
  <c r="I6" i="5"/>
  <c r="H6" i="5"/>
  <c r="G6" i="5"/>
  <c r="F6" i="5"/>
  <c r="C5" i="5"/>
  <c r="AB5" i="5"/>
  <c r="V5" i="5"/>
  <c r="E5" i="5"/>
  <c r="X5" i="5" s="1"/>
  <c r="B5" i="5"/>
  <c r="T5" i="5"/>
  <c r="S5" i="5"/>
  <c r="R5" i="5"/>
  <c r="J5" i="5"/>
  <c r="I5" i="5"/>
  <c r="H5" i="5"/>
  <c r="G5" i="5"/>
  <c r="F5" i="5"/>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s="1"/>
  <c r="B30" i="4"/>
  <c r="G7" i="6"/>
  <c r="B111" i="6"/>
  <c r="B110" i="6"/>
  <c r="B109" i="6"/>
  <c r="B108" i="6"/>
  <c r="B107" i="6"/>
  <c r="B106" i="6"/>
  <c r="B105" i="6"/>
  <c r="B104" i="6"/>
  <c r="B103" i="6"/>
  <c r="B102" i="6"/>
  <c r="B101" i="6"/>
  <c r="G101" i="6" s="1"/>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G12" i="6" s="1"/>
  <c r="H12" i="6" s="1"/>
  <c r="D12" i="6" s="1"/>
  <c r="B11" i="6"/>
  <c r="B10" i="6"/>
  <c r="B9" i="6"/>
  <c r="B6" i="6"/>
  <c r="B4" i="6"/>
  <c r="O30" i="4"/>
  <c r="P54" i="4"/>
  <c r="B115" i="4" s="1"/>
  <c r="A94" i="6" s="1"/>
  <c r="B133" i="4"/>
  <c r="A109" i="6" s="1"/>
  <c r="B120" i="4"/>
  <c r="A98" i="6" s="1"/>
  <c r="B119" i="4"/>
  <c r="A97" i="6" s="1"/>
  <c r="B117" i="4"/>
  <c r="A95" i="6" s="1"/>
  <c r="B114" i="4"/>
  <c r="A93" i="6" s="1"/>
  <c r="B102" i="4"/>
  <c r="A83" i="6" s="1"/>
  <c r="P53" i="4"/>
  <c r="B54" i="4"/>
  <c r="A39" i="6" s="1"/>
  <c r="P42" i="4"/>
  <c r="B42" i="4"/>
  <c r="A28" i="6" s="1"/>
  <c r="P41" i="4"/>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89" i="4" s="1"/>
  <c r="D29" i="4"/>
  <c r="D89" i="4" s="1"/>
  <c r="B113" i="4"/>
  <c r="H101"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7" i="4"/>
  <c r="S46" i="4"/>
  <c r="T47" i="4"/>
  <c r="U47" i="4"/>
  <c r="T46" i="4"/>
  <c r="S45" i="4"/>
  <c r="S44" i="4"/>
  <c r="T45" i="4"/>
  <c r="U46" i="4"/>
  <c r="V47" i="4"/>
  <c r="W47" i="4"/>
  <c r="V46" i="4"/>
  <c r="U45" i="4"/>
  <c r="T44" i="4"/>
  <c r="S43" i="4"/>
  <c r="S42" i="4"/>
  <c r="T43" i="4"/>
  <c r="U44" i="4"/>
  <c r="V45" i="4"/>
  <c r="W46" i="4"/>
  <c r="X47" i="4"/>
  <c r="Y47" i="4"/>
  <c r="X46" i="4"/>
  <c r="W45" i="4"/>
  <c r="V44" i="4"/>
  <c r="U43" i="4"/>
  <c r="T42" i="4"/>
  <c r="U42" i="4"/>
  <c r="V43" i="4"/>
  <c r="W44" i="4"/>
  <c r="X45" i="4"/>
  <c r="Y46" i="4"/>
  <c r="Z47" i="4"/>
  <c r="AA47" i="4"/>
  <c r="Z46" i="4"/>
  <c r="Y45" i="4"/>
  <c r="X44" i="4"/>
  <c r="W43" i="4"/>
  <c r="V42" i="4"/>
  <c r="W42" i="4"/>
  <c r="X43" i="4"/>
  <c r="Y44" i="4"/>
  <c r="Z45" i="4"/>
  <c r="AA46" i="4"/>
  <c r="AB47" i="4"/>
  <c r="AC47" i="4"/>
  <c r="AB46" i="4"/>
  <c r="AA45" i="4"/>
  <c r="Z44" i="4"/>
  <c r="Y43" i="4"/>
  <c r="X42" i="4"/>
  <c r="Y42" i="4"/>
  <c r="Z43" i="4"/>
  <c r="AA44" i="4"/>
  <c r="AB45" i="4"/>
  <c r="AC46" i="4"/>
  <c r="AC45" i="4"/>
  <c r="AB44" i="4"/>
  <c r="AA43" i="4"/>
  <c r="Z42" i="4"/>
  <c r="AA42" i="4"/>
  <c r="AB43" i="4"/>
  <c r="AC44" i="4"/>
  <c r="AC43" i="4"/>
  <c r="AB42" i="4"/>
  <c r="AC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3" i="5"/>
  <c r="C14" i="5"/>
  <c r="C15" i="5"/>
  <c r="C16" i="5"/>
  <c r="C17"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504" i="5"/>
  <c r="D4" i="5"/>
  <c r="E4" i="5"/>
  <c r="B13" i="5"/>
  <c r="V13" i="5"/>
  <c r="E13" i="5"/>
  <c r="X13" i="5" s="1"/>
  <c r="B14" i="5"/>
  <c r="V14" i="5"/>
  <c r="E14" i="5"/>
  <c r="X14" i="5" s="1"/>
  <c r="B15" i="5"/>
  <c r="V15" i="5"/>
  <c r="E15" i="5"/>
  <c r="X15" i="5" s="1"/>
  <c r="B16" i="5"/>
  <c r="V16" i="5"/>
  <c r="E16" i="5"/>
  <c r="X16" i="5" s="1"/>
  <c r="B17" i="5"/>
  <c r="V17" i="5"/>
  <c r="E17" i="5"/>
  <c r="X17" i="5" s="1"/>
  <c r="V18" i="5"/>
  <c r="E18" i="5"/>
  <c r="X18" i="5" s="1"/>
  <c r="B19" i="5"/>
  <c r="V19" i="5"/>
  <c r="E19" i="5"/>
  <c r="X19" i="5" s="1"/>
  <c r="B20" i="5"/>
  <c r="V20" i="5"/>
  <c r="E20" i="5"/>
  <c r="X20" i="5" s="1"/>
  <c r="B21" i="5"/>
  <c r="V21" i="5"/>
  <c r="E21" i="5"/>
  <c r="B22" i="5"/>
  <c r="V22" i="5"/>
  <c r="E22" i="5"/>
  <c r="X22" i="5" s="1"/>
  <c r="B23" i="5"/>
  <c r="V23" i="5"/>
  <c r="E23" i="5"/>
  <c r="X23" i="5" s="1"/>
  <c r="B24" i="5"/>
  <c r="V24" i="5"/>
  <c r="E24" i="5"/>
  <c r="X24" i="5" s="1"/>
  <c r="B25" i="5"/>
  <c r="V25" i="5"/>
  <c r="E25" i="5"/>
  <c r="B26" i="5"/>
  <c r="V26" i="5"/>
  <c r="E26" i="5"/>
  <c r="B27" i="5"/>
  <c r="V27" i="5"/>
  <c r="E27" i="5"/>
  <c r="X27" i="5" s="1"/>
  <c r="B28" i="5"/>
  <c r="V28" i="5"/>
  <c r="E28" i="5"/>
  <c r="X28" i="5" s="1"/>
  <c r="B29" i="5"/>
  <c r="V29" i="5"/>
  <c r="E29" i="5"/>
  <c r="B30" i="5"/>
  <c r="V30" i="5"/>
  <c r="E30" i="5"/>
  <c r="X30" i="5" s="1"/>
  <c r="B31" i="5"/>
  <c r="V31" i="5"/>
  <c r="E31" i="5"/>
  <c r="X31" i="5" s="1"/>
  <c r="B32" i="5"/>
  <c r="V32" i="5"/>
  <c r="E32" i="5"/>
  <c r="X32" i="5" s="1"/>
  <c r="B33" i="5"/>
  <c r="V33" i="5"/>
  <c r="E33" i="5"/>
  <c r="B34" i="5"/>
  <c r="V34" i="5"/>
  <c r="E34" i="5"/>
  <c r="X34" i="5" s="1"/>
  <c r="B35" i="5"/>
  <c r="V35" i="5"/>
  <c r="E35" i="5"/>
  <c r="X35" i="5" s="1"/>
  <c r="B36" i="5"/>
  <c r="V36" i="5"/>
  <c r="E36" i="5"/>
  <c r="X36" i="5" s="1"/>
  <c r="B37" i="5"/>
  <c r="V37" i="5"/>
  <c r="E37" i="5"/>
  <c r="B38" i="5"/>
  <c r="V38" i="5"/>
  <c r="E38" i="5"/>
  <c r="X38" i="5" s="1"/>
  <c r="B39" i="5"/>
  <c r="V39" i="5"/>
  <c r="E39" i="5"/>
  <c r="X39" i="5" s="1"/>
  <c r="B40" i="5"/>
  <c r="V40" i="5"/>
  <c r="E40" i="5"/>
  <c r="X40" i="5" s="1"/>
  <c r="B41" i="5"/>
  <c r="V41" i="5"/>
  <c r="E41" i="5"/>
  <c r="B42" i="5"/>
  <c r="V42" i="5"/>
  <c r="E42" i="5"/>
  <c r="X42" i="5" s="1"/>
  <c r="B43" i="5"/>
  <c r="V43" i="5"/>
  <c r="E43" i="5"/>
  <c r="X43" i="5" s="1"/>
  <c r="B44" i="5"/>
  <c r="V44" i="5"/>
  <c r="E44" i="5"/>
  <c r="X44" i="5" s="1"/>
  <c r="B45" i="5"/>
  <c r="V45" i="5"/>
  <c r="E45" i="5"/>
  <c r="B46" i="5"/>
  <c r="V46" i="5"/>
  <c r="E46" i="5"/>
  <c r="X46" i="5" s="1"/>
  <c r="B47" i="5"/>
  <c r="V47" i="5"/>
  <c r="E47" i="5"/>
  <c r="X47" i="5" s="1"/>
  <c r="B48" i="5"/>
  <c r="V48" i="5"/>
  <c r="E48" i="5"/>
  <c r="X48" i="5" s="1"/>
  <c r="B49" i="5"/>
  <c r="V49" i="5"/>
  <c r="E49" i="5"/>
  <c r="B50" i="5"/>
  <c r="V50" i="5"/>
  <c r="E50" i="5"/>
  <c r="B51" i="5"/>
  <c r="V51" i="5"/>
  <c r="E51" i="5"/>
  <c r="X51" i="5" s="1"/>
  <c r="B52" i="5"/>
  <c r="V52" i="5"/>
  <c r="E52" i="5"/>
  <c r="X52" i="5" s="1"/>
  <c r="B53" i="5"/>
  <c r="V53" i="5"/>
  <c r="E53" i="5"/>
  <c r="B54" i="5"/>
  <c r="V54" i="5"/>
  <c r="E54" i="5"/>
  <c r="X54" i="5" s="1"/>
  <c r="B55" i="5"/>
  <c r="V55" i="5"/>
  <c r="E55" i="5"/>
  <c r="X55" i="5" s="1"/>
  <c r="B56" i="5"/>
  <c r="V56" i="5"/>
  <c r="E56" i="5"/>
  <c r="X56" i="5" s="1"/>
  <c r="B57" i="5"/>
  <c r="V57" i="5"/>
  <c r="E57" i="5"/>
  <c r="B58" i="5"/>
  <c r="V58" i="5"/>
  <c r="E58" i="5"/>
  <c r="X58" i="5" s="1"/>
  <c r="B59" i="5"/>
  <c r="V59" i="5"/>
  <c r="E59" i="5"/>
  <c r="X59" i="5" s="1"/>
  <c r="B60" i="5"/>
  <c r="V60" i="5"/>
  <c r="E60" i="5"/>
  <c r="X60" i="5" s="1"/>
  <c r="B61" i="5"/>
  <c r="V61" i="5"/>
  <c r="E61" i="5"/>
  <c r="B62" i="5"/>
  <c r="V62" i="5"/>
  <c r="E62" i="5"/>
  <c r="X62" i="5" s="1"/>
  <c r="B63" i="5"/>
  <c r="V63" i="5"/>
  <c r="E63" i="5"/>
  <c r="X63" i="5" s="1"/>
  <c r="B64" i="5"/>
  <c r="V64" i="5"/>
  <c r="E64" i="5"/>
  <c r="X64" i="5" s="1"/>
  <c r="B65" i="5"/>
  <c r="V65" i="5"/>
  <c r="E65" i="5"/>
  <c r="B66" i="5"/>
  <c r="V66" i="5"/>
  <c r="E66" i="5"/>
  <c r="X66" i="5" s="1"/>
  <c r="B67" i="5"/>
  <c r="V67" i="5"/>
  <c r="E67" i="5"/>
  <c r="X67" i="5" s="1"/>
  <c r="B68" i="5"/>
  <c r="V68" i="5"/>
  <c r="E68" i="5"/>
  <c r="X68" i="5" s="1"/>
  <c r="B69" i="5"/>
  <c r="V69" i="5"/>
  <c r="E69" i="5"/>
  <c r="B70" i="5"/>
  <c r="V70" i="5"/>
  <c r="E70" i="5"/>
  <c r="X70" i="5" s="1"/>
  <c r="B71" i="5"/>
  <c r="V71" i="5"/>
  <c r="E71" i="5"/>
  <c r="X71" i="5" s="1"/>
  <c r="B72" i="5"/>
  <c r="V72" i="5"/>
  <c r="E72" i="5"/>
  <c r="X72" i="5" s="1"/>
  <c r="B73" i="5"/>
  <c r="V73" i="5"/>
  <c r="E73" i="5"/>
  <c r="B74" i="5"/>
  <c r="V74" i="5"/>
  <c r="E74" i="5"/>
  <c r="X74" i="5" s="1"/>
  <c r="B75" i="5"/>
  <c r="V75" i="5"/>
  <c r="E75" i="5"/>
  <c r="X75" i="5" s="1"/>
  <c r="B76" i="5"/>
  <c r="V76" i="5"/>
  <c r="E76" i="5"/>
  <c r="X76" i="5" s="1"/>
  <c r="B77" i="5"/>
  <c r="V77" i="5"/>
  <c r="E77" i="5"/>
  <c r="B78" i="5"/>
  <c r="V78" i="5"/>
  <c r="E78" i="5"/>
  <c r="X78" i="5" s="1"/>
  <c r="B79" i="5"/>
  <c r="V79" i="5"/>
  <c r="E79" i="5"/>
  <c r="X79" i="5" s="1"/>
  <c r="B80" i="5"/>
  <c r="V80" i="5"/>
  <c r="E80" i="5"/>
  <c r="X80" i="5" s="1"/>
  <c r="B81" i="5"/>
  <c r="V81" i="5"/>
  <c r="E81" i="5"/>
  <c r="B82" i="5"/>
  <c r="V82" i="5"/>
  <c r="E82" i="5"/>
  <c r="X82" i="5" s="1"/>
  <c r="B83" i="5"/>
  <c r="V83" i="5"/>
  <c r="E83" i="5"/>
  <c r="X83" i="5" s="1"/>
  <c r="B84" i="5"/>
  <c r="V84" i="5"/>
  <c r="E84" i="5"/>
  <c r="X84" i="5" s="1"/>
  <c r="B85" i="5"/>
  <c r="V85" i="5"/>
  <c r="E85" i="5"/>
  <c r="B86" i="5"/>
  <c r="V86" i="5"/>
  <c r="E86" i="5"/>
  <c r="B87" i="5"/>
  <c r="V87" i="5"/>
  <c r="E87" i="5"/>
  <c r="X87" i="5" s="1"/>
  <c r="B88" i="5"/>
  <c r="V88" i="5"/>
  <c r="E88" i="5"/>
  <c r="X88" i="5" s="1"/>
  <c r="B89" i="5"/>
  <c r="V89" i="5"/>
  <c r="E89" i="5"/>
  <c r="B90" i="5"/>
  <c r="V90" i="5"/>
  <c r="E90" i="5"/>
  <c r="X90" i="5" s="1"/>
  <c r="B91" i="5"/>
  <c r="V91" i="5"/>
  <c r="E91" i="5"/>
  <c r="X91" i="5" s="1"/>
  <c r="B92" i="5"/>
  <c r="V92" i="5"/>
  <c r="E92" i="5"/>
  <c r="X92" i="5" s="1"/>
  <c r="B93" i="5"/>
  <c r="V93" i="5"/>
  <c r="E93" i="5"/>
  <c r="B94" i="5"/>
  <c r="V94" i="5"/>
  <c r="E94" i="5"/>
  <c r="X94" i="5" s="1"/>
  <c r="B95" i="5"/>
  <c r="V95" i="5"/>
  <c r="E95" i="5"/>
  <c r="X95" i="5" s="1"/>
  <c r="B96" i="5"/>
  <c r="V96" i="5"/>
  <c r="E96" i="5"/>
  <c r="X96" i="5" s="1"/>
  <c r="B97" i="5"/>
  <c r="V97" i="5"/>
  <c r="E97" i="5"/>
  <c r="B98" i="5"/>
  <c r="V98" i="5"/>
  <c r="E98" i="5"/>
  <c r="X98" i="5" s="1"/>
  <c r="B99" i="5"/>
  <c r="V99" i="5"/>
  <c r="E99" i="5"/>
  <c r="X99" i="5" s="1"/>
  <c r="B100" i="5"/>
  <c r="V100" i="5"/>
  <c r="E100" i="5"/>
  <c r="X100" i="5" s="1"/>
  <c r="B101" i="5"/>
  <c r="V101" i="5"/>
  <c r="E101" i="5"/>
  <c r="B102" i="5"/>
  <c r="V102" i="5"/>
  <c r="E102" i="5"/>
  <c r="X102" i="5" s="1"/>
  <c r="B103" i="5"/>
  <c r="V103" i="5"/>
  <c r="E103" i="5"/>
  <c r="X103" i="5" s="1"/>
  <c r="B104" i="5"/>
  <c r="V104" i="5"/>
  <c r="E104" i="5"/>
  <c r="X104" i="5" s="1"/>
  <c r="B105" i="5"/>
  <c r="V105" i="5"/>
  <c r="E105" i="5"/>
  <c r="B106" i="5"/>
  <c r="V106" i="5"/>
  <c r="E106" i="5"/>
  <c r="X106" i="5" s="1"/>
  <c r="B107" i="5"/>
  <c r="V107" i="5"/>
  <c r="E107" i="5"/>
  <c r="X107" i="5" s="1"/>
  <c r="B108" i="5"/>
  <c r="V108" i="5"/>
  <c r="E108" i="5"/>
  <c r="X108" i="5" s="1"/>
  <c r="B109" i="5"/>
  <c r="V109" i="5"/>
  <c r="E109" i="5"/>
  <c r="B110" i="5"/>
  <c r="V110" i="5"/>
  <c r="E110" i="5"/>
  <c r="B111" i="5"/>
  <c r="V111" i="5"/>
  <c r="E111" i="5"/>
  <c r="X111" i="5" s="1"/>
  <c r="B112" i="5"/>
  <c r="V112" i="5"/>
  <c r="E112" i="5"/>
  <c r="X112" i="5" s="1"/>
  <c r="B113" i="5"/>
  <c r="V113" i="5"/>
  <c r="E113" i="5"/>
  <c r="B114" i="5"/>
  <c r="V114" i="5"/>
  <c r="E114" i="5"/>
  <c r="X114" i="5" s="1"/>
  <c r="B115" i="5"/>
  <c r="V115" i="5"/>
  <c r="E115" i="5"/>
  <c r="X115" i="5" s="1"/>
  <c r="B116" i="5"/>
  <c r="V116" i="5"/>
  <c r="E116" i="5"/>
  <c r="X116" i="5" s="1"/>
  <c r="B117" i="5"/>
  <c r="V117" i="5"/>
  <c r="E117" i="5"/>
  <c r="B118" i="5"/>
  <c r="V118" i="5"/>
  <c r="E118" i="5"/>
  <c r="X118" i="5" s="1"/>
  <c r="B119" i="5"/>
  <c r="V119" i="5"/>
  <c r="E119" i="5"/>
  <c r="X119" i="5" s="1"/>
  <c r="B120" i="5"/>
  <c r="V120" i="5"/>
  <c r="E120" i="5"/>
  <c r="X120" i="5" s="1"/>
  <c r="B121" i="5"/>
  <c r="V121" i="5"/>
  <c r="E121" i="5"/>
  <c r="B122" i="5"/>
  <c r="V122" i="5"/>
  <c r="E122" i="5"/>
  <c r="X122" i="5" s="1"/>
  <c r="B123" i="5"/>
  <c r="V123" i="5"/>
  <c r="E123" i="5"/>
  <c r="X123" i="5" s="1"/>
  <c r="B124" i="5"/>
  <c r="V124" i="5"/>
  <c r="E124" i="5"/>
  <c r="X124" i="5" s="1"/>
  <c r="B125" i="5"/>
  <c r="V125" i="5"/>
  <c r="E125" i="5"/>
  <c r="B126" i="5"/>
  <c r="V126" i="5"/>
  <c r="E126" i="5"/>
  <c r="B127" i="5"/>
  <c r="V127" i="5"/>
  <c r="E127" i="5"/>
  <c r="X127" i="5" s="1"/>
  <c r="B128" i="5"/>
  <c r="V128" i="5"/>
  <c r="E128" i="5"/>
  <c r="X128" i="5" s="1"/>
  <c r="B129" i="5"/>
  <c r="V129" i="5"/>
  <c r="E129" i="5"/>
  <c r="B130" i="5"/>
  <c r="V130" i="5"/>
  <c r="E130" i="5"/>
  <c r="X130" i="5" s="1"/>
  <c r="B131" i="5"/>
  <c r="V131" i="5"/>
  <c r="E131" i="5"/>
  <c r="X131" i="5" s="1"/>
  <c r="B132" i="5"/>
  <c r="V132" i="5"/>
  <c r="E132" i="5"/>
  <c r="X132" i="5" s="1"/>
  <c r="B133" i="5"/>
  <c r="V133" i="5"/>
  <c r="E133" i="5"/>
  <c r="B134" i="5"/>
  <c r="V134" i="5"/>
  <c r="E134" i="5"/>
  <c r="B135" i="5"/>
  <c r="V135" i="5"/>
  <c r="E135" i="5"/>
  <c r="X135" i="5" s="1"/>
  <c r="B136" i="5"/>
  <c r="V136" i="5"/>
  <c r="E136" i="5"/>
  <c r="X136" i="5" s="1"/>
  <c r="B137" i="5"/>
  <c r="V137" i="5"/>
  <c r="E137" i="5"/>
  <c r="B138" i="5"/>
  <c r="V138" i="5"/>
  <c r="E138" i="5"/>
  <c r="X138" i="5" s="1"/>
  <c r="B139" i="5"/>
  <c r="V139" i="5"/>
  <c r="E139" i="5"/>
  <c r="X139" i="5" s="1"/>
  <c r="B140" i="5"/>
  <c r="V140" i="5"/>
  <c r="E140" i="5"/>
  <c r="X140" i="5" s="1"/>
  <c r="B141" i="5"/>
  <c r="V141" i="5"/>
  <c r="E141" i="5"/>
  <c r="B142" i="5"/>
  <c r="V142" i="5"/>
  <c r="E142" i="5"/>
  <c r="X142" i="5" s="1"/>
  <c r="B143" i="5"/>
  <c r="V143" i="5"/>
  <c r="E143" i="5"/>
  <c r="X143" i="5" s="1"/>
  <c r="B144" i="5"/>
  <c r="V144" i="5"/>
  <c r="E144" i="5"/>
  <c r="X144" i="5" s="1"/>
  <c r="B145" i="5"/>
  <c r="V145" i="5"/>
  <c r="E145" i="5"/>
  <c r="B146" i="5"/>
  <c r="V146" i="5"/>
  <c r="E146" i="5"/>
  <c r="X146" i="5" s="1"/>
  <c r="B147" i="5"/>
  <c r="V147" i="5"/>
  <c r="E147" i="5"/>
  <c r="X147" i="5" s="1"/>
  <c r="B148" i="5"/>
  <c r="V148" i="5"/>
  <c r="E148" i="5"/>
  <c r="X148" i="5" s="1"/>
  <c r="B149" i="5"/>
  <c r="V149" i="5"/>
  <c r="E149" i="5"/>
  <c r="B150" i="5"/>
  <c r="V150" i="5"/>
  <c r="E150" i="5"/>
  <c r="X150" i="5" s="1"/>
  <c r="B151" i="5"/>
  <c r="V151" i="5"/>
  <c r="E151" i="5"/>
  <c r="X151" i="5" s="1"/>
  <c r="B152" i="5"/>
  <c r="V152" i="5"/>
  <c r="E152" i="5"/>
  <c r="X152" i="5" s="1"/>
  <c r="B153" i="5"/>
  <c r="V153" i="5"/>
  <c r="E153" i="5"/>
  <c r="B154" i="5"/>
  <c r="V154" i="5"/>
  <c r="E154" i="5"/>
  <c r="X154" i="5" s="1"/>
  <c r="V155" i="5"/>
  <c r="E155" i="5"/>
  <c r="X155" i="5" s="1"/>
  <c r="V156" i="5"/>
  <c r="E156" i="5"/>
  <c r="X156" i="5" s="1"/>
  <c r="B157" i="5"/>
  <c r="V157" i="5"/>
  <c r="E157" i="5"/>
  <c r="X157" i="5" s="1"/>
  <c r="B158" i="5"/>
  <c r="V158" i="5"/>
  <c r="E158" i="5"/>
  <c r="X158" i="5" s="1"/>
  <c r="B159" i="5"/>
  <c r="V159" i="5"/>
  <c r="E159" i="5"/>
  <c r="X159" i="5" s="1"/>
  <c r="B160" i="5"/>
  <c r="V160" i="5"/>
  <c r="E160" i="5"/>
  <c r="X160" i="5" s="1"/>
  <c r="B161" i="5"/>
  <c r="V161" i="5"/>
  <c r="E161" i="5"/>
  <c r="X161" i="5" s="1"/>
  <c r="B162" i="5"/>
  <c r="V162" i="5"/>
  <c r="E162" i="5"/>
  <c r="X162" i="5" s="1"/>
  <c r="B163" i="5"/>
  <c r="V163" i="5"/>
  <c r="E163" i="5"/>
  <c r="X163" i="5" s="1"/>
  <c r="B164" i="5"/>
  <c r="V164" i="5"/>
  <c r="E164" i="5"/>
  <c r="X164" i="5" s="1"/>
  <c r="B165" i="5"/>
  <c r="V165" i="5"/>
  <c r="E165" i="5"/>
  <c r="X165" i="5" s="1"/>
  <c r="B166" i="5"/>
  <c r="V166" i="5"/>
  <c r="E166" i="5"/>
  <c r="X166" i="5" s="1"/>
  <c r="B167" i="5"/>
  <c r="V167" i="5"/>
  <c r="E167" i="5"/>
  <c r="X167" i="5" s="1"/>
  <c r="B168" i="5"/>
  <c r="V168" i="5"/>
  <c r="E168" i="5"/>
  <c r="X168" i="5" s="1"/>
  <c r="B169" i="5"/>
  <c r="V169" i="5"/>
  <c r="E169" i="5"/>
  <c r="X169" i="5" s="1"/>
  <c r="B170" i="5"/>
  <c r="V170" i="5"/>
  <c r="E170" i="5"/>
  <c r="X170" i="5" s="1"/>
  <c r="B171" i="5"/>
  <c r="V171" i="5"/>
  <c r="E171" i="5"/>
  <c r="X171" i="5" s="1"/>
  <c r="B172" i="5"/>
  <c r="V172" i="5"/>
  <c r="E172" i="5"/>
  <c r="X172" i="5" s="1"/>
  <c r="B173" i="5"/>
  <c r="V173" i="5"/>
  <c r="E173" i="5"/>
  <c r="X173" i="5" s="1"/>
  <c r="B174" i="5"/>
  <c r="V174" i="5"/>
  <c r="E174" i="5"/>
  <c r="X174" i="5" s="1"/>
  <c r="B175" i="5"/>
  <c r="V175" i="5"/>
  <c r="E175" i="5"/>
  <c r="X175" i="5" s="1"/>
  <c r="B176" i="5"/>
  <c r="V176" i="5"/>
  <c r="E176" i="5"/>
  <c r="X176" i="5" s="1"/>
  <c r="B177" i="5"/>
  <c r="V177" i="5"/>
  <c r="E177" i="5"/>
  <c r="X177" i="5" s="1"/>
  <c r="B178" i="5"/>
  <c r="V178" i="5"/>
  <c r="E178" i="5"/>
  <c r="X178" i="5" s="1"/>
  <c r="B179" i="5"/>
  <c r="V179" i="5"/>
  <c r="E179" i="5"/>
  <c r="X179" i="5" s="1"/>
  <c r="B180" i="5"/>
  <c r="V180" i="5"/>
  <c r="E180" i="5"/>
  <c r="X180" i="5" s="1"/>
  <c r="B181" i="5"/>
  <c r="V181" i="5"/>
  <c r="E181" i="5"/>
  <c r="X181" i="5" s="1"/>
  <c r="B182" i="5"/>
  <c r="V182" i="5"/>
  <c r="E182" i="5"/>
  <c r="X182" i="5" s="1"/>
  <c r="B183" i="5"/>
  <c r="V183" i="5"/>
  <c r="E183" i="5"/>
  <c r="X183" i="5" s="1"/>
  <c r="B184" i="5"/>
  <c r="V184" i="5"/>
  <c r="E184" i="5"/>
  <c r="X184" i="5" s="1"/>
  <c r="B185" i="5"/>
  <c r="V185" i="5"/>
  <c r="E185" i="5"/>
  <c r="X185" i="5" s="1"/>
  <c r="B186" i="5"/>
  <c r="V186" i="5"/>
  <c r="E186" i="5"/>
  <c r="X186" i="5" s="1"/>
  <c r="B187" i="5"/>
  <c r="V187" i="5"/>
  <c r="E187" i="5"/>
  <c r="X187" i="5" s="1"/>
  <c r="B188" i="5"/>
  <c r="V188" i="5"/>
  <c r="E188" i="5"/>
  <c r="X188" i="5" s="1"/>
  <c r="B189" i="5"/>
  <c r="V189" i="5"/>
  <c r="E189" i="5"/>
  <c r="X189" i="5" s="1"/>
  <c r="V190" i="5"/>
  <c r="E190" i="5"/>
  <c r="V191" i="5"/>
  <c r="E191" i="5"/>
  <c r="X191" i="5" s="1"/>
  <c r="B192" i="5"/>
  <c r="V192" i="5"/>
  <c r="E192" i="5"/>
  <c r="X192" i="5" s="1"/>
  <c r="B193" i="5"/>
  <c r="V193" i="5"/>
  <c r="E193" i="5"/>
  <c r="X193" i="5" s="1"/>
  <c r="B194" i="5"/>
  <c r="V194" i="5"/>
  <c r="E194" i="5"/>
  <c r="X194" i="5" s="1"/>
  <c r="B195" i="5"/>
  <c r="V195" i="5"/>
  <c r="E195" i="5"/>
  <c r="X195" i="5" s="1"/>
  <c r="B196" i="5"/>
  <c r="V196" i="5"/>
  <c r="E196" i="5"/>
  <c r="X196" i="5" s="1"/>
  <c r="B197" i="5"/>
  <c r="V197" i="5"/>
  <c r="E197" i="5"/>
  <c r="X197" i="5" s="1"/>
  <c r="B198" i="5"/>
  <c r="V198" i="5"/>
  <c r="E198" i="5"/>
  <c r="X198" i="5" s="1"/>
  <c r="B199" i="5"/>
  <c r="V199" i="5"/>
  <c r="E199" i="5"/>
  <c r="X199" i="5" s="1"/>
  <c r="B200" i="5"/>
  <c r="V200" i="5"/>
  <c r="E200" i="5"/>
  <c r="X200" i="5" s="1"/>
  <c r="B201" i="5"/>
  <c r="V201" i="5"/>
  <c r="E201" i="5"/>
  <c r="X201" i="5" s="1"/>
  <c r="B202" i="5"/>
  <c r="V202" i="5"/>
  <c r="E202" i="5"/>
  <c r="X202" i="5" s="1"/>
  <c r="B203" i="5"/>
  <c r="V203" i="5"/>
  <c r="E203" i="5"/>
  <c r="X203" i="5" s="1"/>
  <c r="B204" i="5"/>
  <c r="V204" i="5"/>
  <c r="E204" i="5"/>
  <c r="X204" i="5" s="1"/>
  <c r="B205" i="5"/>
  <c r="V205" i="5"/>
  <c r="E205" i="5"/>
  <c r="X205" i="5" s="1"/>
  <c r="B206" i="5"/>
  <c r="V206" i="5"/>
  <c r="E206" i="5"/>
  <c r="X206" i="5" s="1"/>
  <c r="B207" i="5"/>
  <c r="V207" i="5"/>
  <c r="E207" i="5"/>
  <c r="X207" i="5" s="1"/>
  <c r="B208" i="5"/>
  <c r="V208" i="5"/>
  <c r="E208" i="5"/>
  <c r="X208" i="5" s="1"/>
  <c r="B209" i="5"/>
  <c r="V209" i="5"/>
  <c r="E209" i="5"/>
  <c r="X209" i="5" s="1"/>
  <c r="B210" i="5"/>
  <c r="V210" i="5"/>
  <c r="E210" i="5"/>
  <c r="X210" i="5" s="1"/>
  <c r="B211" i="5"/>
  <c r="V211" i="5"/>
  <c r="E211" i="5"/>
  <c r="X211" i="5" s="1"/>
  <c r="B212" i="5"/>
  <c r="V212" i="5"/>
  <c r="E212" i="5"/>
  <c r="X212" i="5" s="1"/>
  <c r="B213" i="5"/>
  <c r="V213" i="5"/>
  <c r="E213" i="5"/>
  <c r="X213" i="5" s="1"/>
  <c r="B214" i="5"/>
  <c r="V214" i="5"/>
  <c r="E214" i="5"/>
  <c r="X214" i="5" s="1"/>
  <c r="B215" i="5"/>
  <c r="V215" i="5"/>
  <c r="E215" i="5"/>
  <c r="X215" i="5" s="1"/>
  <c r="B216" i="5"/>
  <c r="V216" i="5"/>
  <c r="E216" i="5"/>
  <c r="X216" i="5" s="1"/>
  <c r="B217" i="5"/>
  <c r="V217" i="5"/>
  <c r="E217" i="5"/>
  <c r="X217" i="5" s="1"/>
  <c r="B218" i="5"/>
  <c r="V218" i="5"/>
  <c r="E218" i="5"/>
  <c r="X218" i="5" s="1"/>
  <c r="B219" i="5"/>
  <c r="V219" i="5"/>
  <c r="E219" i="5"/>
  <c r="X219" i="5" s="1"/>
  <c r="B220" i="5"/>
  <c r="V220" i="5"/>
  <c r="E220" i="5"/>
  <c r="X220" i="5" s="1"/>
  <c r="B221" i="5"/>
  <c r="V221" i="5"/>
  <c r="E221" i="5"/>
  <c r="X221" i="5" s="1"/>
  <c r="B222" i="5"/>
  <c r="V222" i="5"/>
  <c r="E222" i="5"/>
  <c r="X222" i="5" s="1"/>
  <c r="B223" i="5"/>
  <c r="V223" i="5"/>
  <c r="E223" i="5"/>
  <c r="X223" i="5" s="1"/>
  <c r="B224" i="5"/>
  <c r="V224" i="5"/>
  <c r="E224" i="5"/>
  <c r="B225" i="5"/>
  <c r="V225" i="5"/>
  <c r="E225" i="5"/>
  <c r="X225" i="5" s="1"/>
  <c r="B226" i="5"/>
  <c r="V226" i="5"/>
  <c r="E226" i="5"/>
  <c r="X226" i="5" s="1"/>
  <c r="B227" i="5"/>
  <c r="V227" i="5"/>
  <c r="E227" i="5"/>
  <c r="X227" i="5" s="1"/>
  <c r="B228" i="5"/>
  <c r="V228" i="5"/>
  <c r="E228" i="5"/>
  <c r="X228" i="5" s="1"/>
  <c r="B229" i="5"/>
  <c r="V229" i="5"/>
  <c r="E229" i="5"/>
  <c r="X229" i="5" s="1"/>
  <c r="B230" i="5"/>
  <c r="V230" i="5"/>
  <c r="E230" i="5"/>
  <c r="X230" i="5" s="1"/>
  <c r="B231" i="5"/>
  <c r="V231" i="5"/>
  <c r="E231" i="5"/>
  <c r="X231" i="5" s="1"/>
  <c r="B232" i="5"/>
  <c r="V232" i="5"/>
  <c r="E232" i="5"/>
  <c r="X232" i="5" s="1"/>
  <c r="B233" i="5"/>
  <c r="V233" i="5"/>
  <c r="E233" i="5"/>
  <c r="X233" i="5" s="1"/>
  <c r="B234" i="5"/>
  <c r="V234" i="5"/>
  <c r="E234" i="5"/>
  <c r="X234" i="5" s="1"/>
  <c r="B235" i="5"/>
  <c r="V235" i="5"/>
  <c r="E235" i="5"/>
  <c r="X235" i="5" s="1"/>
  <c r="B236" i="5"/>
  <c r="V236" i="5"/>
  <c r="E236" i="5"/>
  <c r="X236" i="5" s="1"/>
  <c r="B237" i="5"/>
  <c r="V237" i="5"/>
  <c r="E237" i="5"/>
  <c r="X237" i="5" s="1"/>
  <c r="B238" i="5"/>
  <c r="V238" i="5"/>
  <c r="E238" i="5"/>
  <c r="X238" i="5" s="1"/>
  <c r="B239" i="5"/>
  <c r="V239" i="5"/>
  <c r="E239" i="5"/>
  <c r="X239" i="5" s="1"/>
  <c r="B240" i="5"/>
  <c r="V240" i="5"/>
  <c r="E240" i="5"/>
  <c r="X240" i="5" s="1"/>
  <c r="B241" i="5"/>
  <c r="V241" i="5"/>
  <c r="E241" i="5"/>
  <c r="X241" i="5" s="1"/>
  <c r="B242" i="5"/>
  <c r="V242" i="5"/>
  <c r="E242" i="5"/>
  <c r="X242" i="5" s="1"/>
  <c r="B243" i="5"/>
  <c r="V243" i="5"/>
  <c r="E243" i="5"/>
  <c r="X243" i="5" s="1"/>
  <c r="B244" i="5"/>
  <c r="V244" i="5"/>
  <c r="E244" i="5"/>
  <c r="X244" i="5" s="1"/>
  <c r="B245" i="5"/>
  <c r="V245" i="5"/>
  <c r="E245" i="5"/>
  <c r="X245" i="5" s="1"/>
  <c r="B246" i="5"/>
  <c r="V246" i="5"/>
  <c r="E246" i="5"/>
  <c r="X246" i="5" s="1"/>
  <c r="B247" i="5"/>
  <c r="V247" i="5"/>
  <c r="E247" i="5"/>
  <c r="X247" i="5" s="1"/>
  <c r="B248" i="5"/>
  <c r="V248" i="5"/>
  <c r="E248" i="5"/>
  <c r="X248" i="5" s="1"/>
  <c r="B249" i="5"/>
  <c r="V249" i="5"/>
  <c r="E249" i="5"/>
  <c r="X249" i="5" s="1"/>
  <c r="B250" i="5"/>
  <c r="V250" i="5"/>
  <c r="E250" i="5"/>
  <c r="X250" i="5" s="1"/>
  <c r="B251" i="5"/>
  <c r="V251" i="5"/>
  <c r="E251" i="5"/>
  <c r="X251" i="5" s="1"/>
  <c r="B252" i="5"/>
  <c r="V252" i="5"/>
  <c r="E252" i="5"/>
  <c r="X252" i="5" s="1"/>
  <c r="B253" i="5"/>
  <c r="V253" i="5"/>
  <c r="E253" i="5"/>
  <c r="X253" i="5" s="1"/>
  <c r="B254" i="5"/>
  <c r="V254" i="5"/>
  <c r="E254" i="5"/>
  <c r="X254" i="5" s="1"/>
  <c r="B255" i="5"/>
  <c r="V255" i="5"/>
  <c r="E255" i="5"/>
  <c r="X255" i="5" s="1"/>
  <c r="B256" i="5"/>
  <c r="V256" i="5"/>
  <c r="E256" i="5"/>
  <c r="X256" i="5" s="1"/>
  <c r="B257" i="5"/>
  <c r="V257" i="5"/>
  <c r="E257" i="5"/>
  <c r="X257" i="5" s="1"/>
  <c r="B258" i="5"/>
  <c r="V258" i="5"/>
  <c r="E258" i="5"/>
  <c r="X258" i="5" s="1"/>
  <c r="B259" i="5"/>
  <c r="V259" i="5"/>
  <c r="E259" i="5"/>
  <c r="X259" i="5" s="1"/>
  <c r="B260" i="5"/>
  <c r="V260" i="5"/>
  <c r="E260" i="5"/>
  <c r="B261" i="5"/>
  <c r="V261" i="5"/>
  <c r="E261" i="5"/>
  <c r="X261" i="5" s="1"/>
  <c r="B262" i="5"/>
  <c r="V262" i="5"/>
  <c r="E262" i="5"/>
  <c r="X262" i="5" s="1"/>
  <c r="B263" i="5"/>
  <c r="V263" i="5"/>
  <c r="E263" i="5"/>
  <c r="X263" i="5" s="1"/>
  <c r="B264" i="5"/>
  <c r="V264" i="5"/>
  <c r="E264" i="5"/>
  <c r="X264" i="5" s="1"/>
  <c r="B265" i="5"/>
  <c r="V265" i="5"/>
  <c r="E265" i="5"/>
  <c r="X265" i="5" s="1"/>
  <c r="B266" i="5"/>
  <c r="V266" i="5"/>
  <c r="E266" i="5"/>
  <c r="X266" i="5" s="1"/>
  <c r="B267" i="5"/>
  <c r="V267" i="5"/>
  <c r="E267" i="5"/>
  <c r="X267" i="5" s="1"/>
  <c r="B268" i="5"/>
  <c r="V268" i="5"/>
  <c r="E268" i="5"/>
  <c r="X268" i="5" s="1"/>
  <c r="B269" i="5"/>
  <c r="V269" i="5"/>
  <c r="E269" i="5"/>
  <c r="X269" i="5" s="1"/>
  <c r="B270" i="5"/>
  <c r="V270" i="5"/>
  <c r="E270" i="5"/>
  <c r="X270" i="5" s="1"/>
  <c r="B271" i="5"/>
  <c r="V271" i="5"/>
  <c r="E271" i="5"/>
  <c r="X271" i="5" s="1"/>
  <c r="B272" i="5"/>
  <c r="V272" i="5"/>
  <c r="E272" i="5"/>
  <c r="X272" i="5" s="1"/>
  <c r="B273" i="5"/>
  <c r="V273" i="5"/>
  <c r="E273" i="5"/>
  <c r="X273" i="5" s="1"/>
  <c r="B274" i="5"/>
  <c r="V274" i="5"/>
  <c r="E274" i="5"/>
  <c r="X274" i="5" s="1"/>
  <c r="B275" i="5"/>
  <c r="V275" i="5"/>
  <c r="E275" i="5"/>
  <c r="X275" i="5" s="1"/>
  <c r="B276" i="5"/>
  <c r="V276" i="5"/>
  <c r="E276" i="5"/>
  <c r="X276" i="5" s="1"/>
  <c r="B277" i="5"/>
  <c r="V277" i="5"/>
  <c r="E277" i="5"/>
  <c r="X277" i="5" s="1"/>
  <c r="B278" i="5"/>
  <c r="V278" i="5"/>
  <c r="E278" i="5"/>
  <c r="X278" i="5" s="1"/>
  <c r="B279" i="5"/>
  <c r="V279" i="5"/>
  <c r="E279" i="5"/>
  <c r="X279" i="5" s="1"/>
  <c r="B280" i="5"/>
  <c r="V280" i="5"/>
  <c r="E280" i="5"/>
  <c r="X280" i="5" s="1"/>
  <c r="B281" i="5"/>
  <c r="V281" i="5"/>
  <c r="E281" i="5"/>
  <c r="X281" i="5" s="1"/>
  <c r="B282" i="5"/>
  <c r="V282" i="5"/>
  <c r="E282" i="5"/>
  <c r="X282" i="5" s="1"/>
  <c r="B283" i="5"/>
  <c r="V283" i="5"/>
  <c r="E283" i="5"/>
  <c r="X283" i="5" s="1"/>
  <c r="B284" i="5"/>
  <c r="V284" i="5"/>
  <c r="E284" i="5"/>
  <c r="X284" i="5" s="1"/>
  <c r="B285" i="5"/>
  <c r="V285" i="5"/>
  <c r="E285" i="5"/>
  <c r="X285" i="5" s="1"/>
  <c r="B286" i="5"/>
  <c r="V286" i="5"/>
  <c r="E286" i="5"/>
  <c r="X286" i="5" s="1"/>
  <c r="B287" i="5"/>
  <c r="V287" i="5"/>
  <c r="E287" i="5"/>
  <c r="X287" i="5" s="1"/>
  <c r="B288" i="5"/>
  <c r="V288" i="5"/>
  <c r="E288" i="5"/>
  <c r="X288" i="5" s="1"/>
  <c r="V289" i="5"/>
  <c r="E289" i="5"/>
  <c r="X289" i="5" s="1"/>
  <c r="V290" i="5"/>
  <c r="E290" i="5"/>
  <c r="X290" i="5" s="1"/>
  <c r="B291" i="5"/>
  <c r="V291" i="5"/>
  <c r="E291" i="5"/>
  <c r="B292" i="5"/>
  <c r="V292" i="5"/>
  <c r="E292" i="5"/>
  <c r="X292" i="5" s="1"/>
  <c r="B293" i="5"/>
  <c r="V293" i="5"/>
  <c r="E293" i="5"/>
  <c r="X293" i="5" s="1"/>
  <c r="B294" i="5"/>
  <c r="V294" i="5"/>
  <c r="E294" i="5"/>
  <c r="X294" i="5" s="1"/>
  <c r="B295" i="5"/>
  <c r="V295" i="5"/>
  <c r="E295" i="5"/>
  <c r="B296" i="5"/>
  <c r="V296" i="5"/>
  <c r="E296" i="5"/>
  <c r="X296" i="5" s="1"/>
  <c r="B297" i="5"/>
  <c r="V297" i="5"/>
  <c r="E297" i="5"/>
  <c r="X297" i="5" s="1"/>
  <c r="B298" i="5"/>
  <c r="V298" i="5"/>
  <c r="E298" i="5"/>
  <c r="X298" i="5" s="1"/>
  <c r="B299" i="5"/>
  <c r="V299" i="5"/>
  <c r="E299" i="5"/>
  <c r="B300" i="5"/>
  <c r="V300" i="5"/>
  <c r="E300" i="5"/>
  <c r="X300" i="5" s="1"/>
  <c r="B301" i="5"/>
  <c r="V301" i="5"/>
  <c r="E301" i="5"/>
  <c r="X301" i="5" s="1"/>
  <c r="B302" i="5"/>
  <c r="V302" i="5"/>
  <c r="E302" i="5"/>
  <c r="X302" i="5" s="1"/>
  <c r="B303" i="5"/>
  <c r="V303" i="5"/>
  <c r="E303" i="5"/>
  <c r="B304" i="5"/>
  <c r="V304" i="5"/>
  <c r="E304" i="5"/>
  <c r="X304" i="5" s="1"/>
  <c r="B305" i="5"/>
  <c r="V305" i="5"/>
  <c r="E305" i="5"/>
  <c r="X305" i="5" s="1"/>
  <c r="B306" i="5"/>
  <c r="V306" i="5"/>
  <c r="E306" i="5"/>
  <c r="X306" i="5" s="1"/>
  <c r="B307" i="5"/>
  <c r="V307" i="5"/>
  <c r="E307" i="5"/>
  <c r="B308" i="5"/>
  <c r="V308" i="5"/>
  <c r="E308" i="5"/>
  <c r="X308" i="5" s="1"/>
  <c r="B309" i="5"/>
  <c r="V309" i="5"/>
  <c r="E309" i="5"/>
  <c r="X309" i="5" s="1"/>
  <c r="B310" i="5"/>
  <c r="V310" i="5"/>
  <c r="E310" i="5"/>
  <c r="X310" i="5" s="1"/>
  <c r="B311" i="5"/>
  <c r="V311" i="5"/>
  <c r="E311" i="5"/>
  <c r="B312" i="5"/>
  <c r="V312" i="5"/>
  <c r="E312" i="5"/>
  <c r="B313" i="5"/>
  <c r="V313" i="5"/>
  <c r="E313" i="5"/>
  <c r="X313" i="5" s="1"/>
  <c r="B314" i="5"/>
  <c r="V314" i="5"/>
  <c r="E314" i="5"/>
  <c r="X314" i="5" s="1"/>
  <c r="B315" i="5"/>
  <c r="V315" i="5"/>
  <c r="E315" i="5"/>
  <c r="B316" i="5"/>
  <c r="V316" i="5"/>
  <c r="E316" i="5"/>
  <c r="X316" i="5" s="1"/>
  <c r="B317" i="5"/>
  <c r="V317" i="5"/>
  <c r="E317" i="5"/>
  <c r="X317" i="5" s="1"/>
  <c r="B318" i="5"/>
  <c r="V318" i="5"/>
  <c r="E318" i="5"/>
  <c r="X318" i="5" s="1"/>
  <c r="B319" i="5"/>
  <c r="V319" i="5"/>
  <c r="E319" i="5"/>
  <c r="B320" i="5"/>
  <c r="V320" i="5"/>
  <c r="E320" i="5"/>
  <c r="X320" i="5" s="1"/>
  <c r="B321" i="5"/>
  <c r="V321" i="5"/>
  <c r="E321" i="5"/>
  <c r="X321" i="5" s="1"/>
  <c r="B322" i="5"/>
  <c r="V322" i="5"/>
  <c r="E322" i="5"/>
  <c r="X322" i="5" s="1"/>
  <c r="B323" i="5"/>
  <c r="V323" i="5"/>
  <c r="E323" i="5"/>
  <c r="B324" i="5"/>
  <c r="V324" i="5"/>
  <c r="E324" i="5"/>
  <c r="X324" i="5" s="1"/>
  <c r="B325" i="5"/>
  <c r="V325" i="5"/>
  <c r="E325" i="5"/>
  <c r="X325" i="5" s="1"/>
  <c r="B326" i="5"/>
  <c r="V326" i="5"/>
  <c r="E326" i="5"/>
  <c r="X326" i="5" s="1"/>
  <c r="B327" i="5"/>
  <c r="V327" i="5"/>
  <c r="E327" i="5"/>
  <c r="B328" i="5"/>
  <c r="V328" i="5"/>
  <c r="E328" i="5"/>
  <c r="X328" i="5" s="1"/>
  <c r="B329" i="5"/>
  <c r="V329" i="5"/>
  <c r="E329" i="5"/>
  <c r="X329" i="5" s="1"/>
  <c r="B330" i="5"/>
  <c r="V330" i="5"/>
  <c r="E330" i="5"/>
  <c r="X330" i="5" s="1"/>
  <c r="B331" i="5"/>
  <c r="V331" i="5"/>
  <c r="E331" i="5"/>
  <c r="B332" i="5"/>
  <c r="V332" i="5"/>
  <c r="E332" i="5"/>
  <c r="X332" i="5" s="1"/>
  <c r="B333" i="5"/>
  <c r="V333" i="5"/>
  <c r="E333" i="5"/>
  <c r="X333" i="5" s="1"/>
  <c r="B334" i="5"/>
  <c r="V334" i="5"/>
  <c r="E334" i="5"/>
  <c r="X334" i="5" s="1"/>
  <c r="B335" i="5"/>
  <c r="V335" i="5"/>
  <c r="E335" i="5"/>
  <c r="B336" i="5"/>
  <c r="V336" i="5"/>
  <c r="E336" i="5"/>
  <c r="X336" i="5" s="1"/>
  <c r="B337" i="5"/>
  <c r="V337" i="5"/>
  <c r="E337" i="5"/>
  <c r="X337" i="5" s="1"/>
  <c r="B338" i="5"/>
  <c r="V338" i="5"/>
  <c r="E338" i="5"/>
  <c r="X338" i="5" s="1"/>
  <c r="B339" i="5"/>
  <c r="V339" i="5"/>
  <c r="E339" i="5"/>
  <c r="B340" i="5"/>
  <c r="V340" i="5"/>
  <c r="E340" i="5"/>
  <c r="X340" i="5" s="1"/>
  <c r="B341" i="5"/>
  <c r="V341" i="5"/>
  <c r="E341" i="5"/>
  <c r="X341" i="5" s="1"/>
  <c r="B342" i="5"/>
  <c r="V342" i="5"/>
  <c r="E342" i="5"/>
  <c r="X342" i="5" s="1"/>
  <c r="B343" i="5"/>
  <c r="V343" i="5"/>
  <c r="E343" i="5"/>
  <c r="B344" i="5"/>
  <c r="V344" i="5"/>
  <c r="E344" i="5"/>
  <c r="X344" i="5" s="1"/>
  <c r="B345" i="5"/>
  <c r="V345" i="5"/>
  <c r="E345" i="5"/>
  <c r="X345" i="5" s="1"/>
  <c r="B346" i="5"/>
  <c r="V346" i="5"/>
  <c r="E346" i="5"/>
  <c r="X346" i="5" s="1"/>
  <c r="V347" i="5"/>
  <c r="E347" i="5"/>
  <c r="X347" i="5" s="1"/>
  <c r="V348" i="5"/>
  <c r="E348" i="5"/>
  <c r="X348" i="5" s="1"/>
  <c r="B349" i="5"/>
  <c r="V349" i="5"/>
  <c r="E349" i="5"/>
  <c r="X349" i="5" s="1"/>
  <c r="B350" i="5"/>
  <c r="V350" i="5"/>
  <c r="E350" i="5"/>
  <c r="X350" i="5" s="1"/>
  <c r="B351" i="5"/>
  <c r="V351" i="5"/>
  <c r="E351" i="5"/>
  <c r="X351" i="5" s="1"/>
  <c r="B352" i="5"/>
  <c r="V352" i="5"/>
  <c r="E352" i="5"/>
  <c r="X352" i="5" s="1"/>
  <c r="B353" i="5"/>
  <c r="V353" i="5"/>
  <c r="E353" i="5"/>
  <c r="X353" i="5" s="1"/>
  <c r="B354" i="5"/>
  <c r="V354" i="5"/>
  <c r="E354" i="5"/>
  <c r="X354" i="5" s="1"/>
  <c r="B355" i="5"/>
  <c r="V355" i="5"/>
  <c r="E355" i="5"/>
  <c r="X355" i="5" s="1"/>
  <c r="B356" i="5"/>
  <c r="V356" i="5"/>
  <c r="E356" i="5"/>
  <c r="X356" i="5" s="1"/>
  <c r="B357" i="5"/>
  <c r="V357" i="5"/>
  <c r="E357" i="5"/>
  <c r="X357" i="5" s="1"/>
  <c r="B358" i="5"/>
  <c r="V358" i="5"/>
  <c r="E358" i="5"/>
  <c r="X358" i="5" s="1"/>
  <c r="B359" i="5"/>
  <c r="V359" i="5"/>
  <c r="E359" i="5"/>
  <c r="X359" i="5" s="1"/>
  <c r="B360" i="5"/>
  <c r="V360" i="5"/>
  <c r="E360" i="5"/>
  <c r="X360" i="5" s="1"/>
  <c r="B361" i="5"/>
  <c r="V361" i="5"/>
  <c r="E361" i="5"/>
  <c r="X361" i="5" s="1"/>
  <c r="B362" i="5"/>
  <c r="V362" i="5"/>
  <c r="E362" i="5"/>
  <c r="X362" i="5" s="1"/>
  <c r="B363" i="5"/>
  <c r="V363" i="5"/>
  <c r="E363" i="5"/>
  <c r="X363" i="5" s="1"/>
  <c r="B364" i="5"/>
  <c r="V364" i="5"/>
  <c r="E364" i="5"/>
  <c r="X364" i="5" s="1"/>
  <c r="B365" i="5"/>
  <c r="V365" i="5"/>
  <c r="E365" i="5"/>
  <c r="X365" i="5" s="1"/>
  <c r="B366" i="5"/>
  <c r="V366" i="5"/>
  <c r="E366" i="5"/>
  <c r="X366" i="5" s="1"/>
  <c r="B367" i="5"/>
  <c r="V367" i="5"/>
  <c r="E367" i="5"/>
  <c r="X367" i="5" s="1"/>
  <c r="B368" i="5"/>
  <c r="V368" i="5"/>
  <c r="E368" i="5"/>
  <c r="X368" i="5" s="1"/>
  <c r="B369" i="5"/>
  <c r="V369" i="5"/>
  <c r="E369" i="5"/>
  <c r="X369" i="5" s="1"/>
  <c r="B370" i="5"/>
  <c r="V370" i="5"/>
  <c r="E370" i="5"/>
  <c r="X370" i="5" s="1"/>
  <c r="B371" i="5"/>
  <c r="V371" i="5"/>
  <c r="E371" i="5"/>
  <c r="X371" i="5" s="1"/>
  <c r="B372" i="5"/>
  <c r="V372" i="5"/>
  <c r="E372" i="5"/>
  <c r="X372" i="5" s="1"/>
  <c r="B373" i="5"/>
  <c r="V373" i="5"/>
  <c r="E373" i="5"/>
  <c r="X373" i="5" s="1"/>
  <c r="B374" i="5"/>
  <c r="V374" i="5"/>
  <c r="E374" i="5"/>
  <c r="X374" i="5" s="1"/>
  <c r="B375" i="5"/>
  <c r="V375" i="5"/>
  <c r="E375" i="5"/>
  <c r="X375" i="5" s="1"/>
  <c r="B376" i="5"/>
  <c r="V376" i="5"/>
  <c r="E376" i="5"/>
  <c r="X376" i="5" s="1"/>
  <c r="B377" i="5"/>
  <c r="V377" i="5"/>
  <c r="E377" i="5"/>
  <c r="X377" i="5" s="1"/>
  <c r="B378" i="5"/>
  <c r="V378" i="5"/>
  <c r="E378" i="5"/>
  <c r="X378" i="5" s="1"/>
  <c r="B379" i="5"/>
  <c r="V379" i="5"/>
  <c r="E379" i="5"/>
  <c r="X379" i="5" s="1"/>
  <c r="B380" i="5"/>
  <c r="V380" i="5"/>
  <c r="E380" i="5"/>
  <c r="B381" i="5"/>
  <c r="V381" i="5"/>
  <c r="E381" i="5"/>
  <c r="X381" i="5" s="1"/>
  <c r="B382" i="5"/>
  <c r="V382" i="5"/>
  <c r="E382" i="5"/>
  <c r="X382" i="5" s="1"/>
  <c r="B383" i="5"/>
  <c r="V383" i="5"/>
  <c r="E383" i="5"/>
  <c r="X383" i="5" s="1"/>
  <c r="B384" i="5"/>
  <c r="V384" i="5"/>
  <c r="E384" i="5"/>
  <c r="X384" i="5" s="1"/>
  <c r="B385" i="5"/>
  <c r="V385" i="5"/>
  <c r="E385" i="5"/>
  <c r="X385" i="5" s="1"/>
  <c r="B386" i="5"/>
  <c r="V386" i="5"/>
  <c r="E386" i="5"/>
  <c r="X386" i="5" s="1"/>
  <c r="B387" i="5"/>
  <c r="V387" i="5"/>
  <c r="E387" i="5"/>
  <c r="X387" i="5" s="1"/>
  <c r="B388" i="5"/>
  <c r="V388" i="5"/>
  <c r="E388" i="5"/>
  <c r="X388" i="5" s="1"/>
  <c r="B389" i="5"/>
  <c r="V389" i="5"/>
  <c r="E389" i="5"/>
  <c r="X389" i="5" s="1"/>
  <c r="B390" i="5"/>
  <c r="V390" i="5"/>
  <c r="E390" i="5"/>
  <c r="X390" i="5" s="1"/>
  <c r="B391" i="5"/>
  <c r="V391" i="5"/>
  <c r="E391" i="5"/>
  <c r="X391" i="5" s="1"/>
  <c r="B392" i="5"/>
  <c r="V392" i="5"/>
  <c r="E392" i="5"/>
  <c r="X392" i="5" s="1"/>
  <c r="B393" i="5"/>
  <c r="V393" i="5"/>
  <c r="E393" i="5"/>
  <c r="X393" i="5" s="1"/>
  <c r="V394" i="5"/>
  <c r="E394" i="5"/>
  <c r="X394" i="5" s="1"/>
  <c r="V395" i="5"/>
  <c r="E395" i="5"/>
  <c r="X395" i="5" s="1"/>
  <c r="B396" i="5"/>
  <c r="V396" i="5"/>
  <c r="E396" i="5"/>
  <c r="X396" i="5" s="1"/>
  <c r="B397" i="5"/>
  <c r="V397" i="5"/>
  <c r="E397" i="5"/>
  <c r="X397" i="5" s="1"/>
  <c r="B398" i="5"/>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V698" i="5"/>
  <c r="E698" i="5"/>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V757" i="5"/>
  <c r="E757" i="5"/>
  <c r="V758" i="5"/>
  <c r="E758" i="5"/>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V843" i="5"/>
  <c r="E843" i="5"/>
  <c r="X843" i="5" s="1"/>
  <c r="V844" i="5"/>
  <c r="E844" i="5"/>
  <c r="X844" i="5" s="1"/>
  <c r="V845" i="5"/>
  <c r="E845" i="5"/>
  <c r="X845" i="5" s="1"/>
  <c r="V846" i="5"/>
  <c r="E846" i="5"/>
  <c r="X846" i="5" s="1"/>
  <c r="V847" i="5"/>
  <c r="E847" i="5"/>
  <c r="V848" i="5"/>
  <c r="E848" i="5"/>
  <c r="X848" i="5" s="1"/>
  <c r="V849" i="5"/>
  <c r="E849" i="5"/>
  <c r="X849" i="5" s="1"/>
  <c r="V850" i="5"/>
  <c r="E850" i="5"/>
  <c r="X850" i="5" s="1"/>
  <c r="V851" i="5"/>
  <c r="E851" i="5"/>
  <c r="X851" i="5" s="1"/>
  <c r="V852" i="5"/>
  <c r="E852" i="5"/>
  <c r="X852" i="5" s="1"/>
  <c r="V853" i="5"/>
  <c r="E853" i="5"/>
  <c r="X853" i="5" s="1"/>
  <c r="V854" i="5"/>
  <c r="E854" i="5"/>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V901" i="5"/>
  <c r="E901" i="5"/>
  <c r="X901" i="5" s="1"/>
  <c r="V902" i="5"/>
  <c r="E902" i="5"/>
  <c r="X902" i="5" s="1"/>
  <c r="V903" i="5"/>
  <c r="E903" i="5"/>
  <c r="X903" i="5" s="1"/>
  <c r="V904" i="5"/>
  <c r="E904" i="5"/>
  <c r="X904" i="5" s="1"/>
  <c r="V905" i="5"/>
  <c r="E905" i="5"/>
  <c r="X905" i="5" s="1"/>
  <c r="V906" i="5"/>
  <c r="E906" i="5"/>
  <c r="X906" i="5" s="1"/>
  <c r="V907" i="5"/>
  <c r="E907" i="5"/>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V1040" i="5"/>
  <c r="E1040" i="5"/>
  <c r="X1040" i="5" s="1"/>
  <c r="V1041" i="5"/>
  <c r="E1041" i="5"/>
  <c r="X1041" i="5" s="1"/>
  <c r="V1042" i="5"/>
  <c r="E1042" i="5"/>
  <c r="X1042" i="5" s="1"/>
  <c r="V1043" i="5"/>
  <c r="E1043" i="5"/>
  <c r="X1043" i="5" s="1"/>
  <c r="V1044" i="5"/>
  <c r="E1044" i="5"/>
  <c r="X1044" i="5" s="1"/>
  <c r="V1045" i="5"/>
  <c r="E1045" i="5"/>
  <c r="X1045" i="5" s="1"/>
  <c r="V1046" i="5"/>
  <c r="E1046" i="5"/>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V1071" i="5"/>
  <c r="E1071" i="5"/>
  <c r="X1071" i="5" s="1"/>
  <c r="V1072" i="5"/>
  <c r="E1072" i="5"/>
  <c r="X1072" i="5" s="1"/>
  <c r="V1073" i="5"/>
  <c r="E1073" i="5"/>
  <c r="X1073" i="5" s="1"/>
  <c r="V1074" i="5"/>
  <c r="E1074" i="5"/>
  <c r="X1074" i="5" s="1"/>
  <c r="V1075" i="5"/>
  <c r="E1075" i="5"/>
  <c r="V1076" i="5"/>
  <c r="E1076" i="5"/>
  <c r="X1076" i="5" s="1"/>
  <c r="V1077" i="5"/>
  <c r="E1077" i="5"/>
  <c r="X1077" i="5" s="1"/>
  <c r="V1078" i="5"/>
  <c r="E1078" i="5"/>
  <c r="X1078" i="5" s="1"/>
  <c r="V1079" i="5"/>
  <c r="E1079" i="5"/>
  <c r="X1079" i="5" s="1"/>
  <c r="V1080" i="5"/>
  <c r="E1080" i="5"/>
  <c r="X1080" i="5" s="1"/>
  <c r="V1081" i="5"/>
  <c r="E1081" i="5"/>
  <c r="X1081" i="5" s="1"/>
  <c r="V1082" i="5"/>
  <c r="E1082" i="5"/>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V1268" i="5"/>
  <c r="E1268" i="5"/>
  <c r="X1268" i="5" s="1"/>
  <c r="V1269" i="5"/>
  <c r="E1269" i="5"/>
  <c r="X1269" i="5" s="1"/>
  <c r="V1270" i="5"/>
  <c r="E1270" i="5"/>
  <c r="X1270" i="5" s="1"/>
  <c r="V1271" i="5"/>
  <c r="E1271" i="5"/>
  <c r="X1271" i="5" s="1"/>
  <c r="V1272" i="5"/>
  <c r="E1272" i="5"/>
  <c r="X1272" i="5" s="1"/>
  <c r="V1273" i="5"/>
  <c r="E1273" i="5"/>
  <c r="X1273" i="5" s="1"/>
  <c r="V1274" i="5"/>
  <c r="E1274" i="5"/>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V1399" i="5"/>
  <c r="E1399" i="5"/>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V1543" i="5"/>
  <c r="E1543" i="5"/>
  <c r="X1543" i="5" s="1"/>
  <c r="V1544" i="5"/>
  <c r="E1544" i="5"/>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V1592" i="5"/>
  <c r="E1592" i="5"/>
  <c r="X1592" i="5" s="1"/>
  <c r="V1593" i="5"/>
  <c r="E1593" i="5"/>
  <c r="X1593" i="5" s="1"/>
  <c r="V1594" i="5"/>
  <c r="E1594" i="5"/>
  <c r="X1594" i="5" s="1"/>
  <c r="V1595" i="5"/>
  <c r="E1595" i="5"/>
  <c r="X1595" i="5" s="1"/>
  <c r="V1596" i="5"/>
  <c r="E1596" i="5"/>
  <c r="X1596" i="5" s="1"/>
  <c r="V1597" i="5"/>
  <c r="E1597" i="5"/>
  <c r="X1597" i="5" s="1"/>
  <c r="V1598" i="5"/>
  <c r="E1598" i="5"/>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V1664" i="5"/>
  <c r="E1664" i="5"/>
  <c r="X1664" i="5" s="1"/>
  <c r="V1665" i="5"/>
  <c r="E1665" i="5"/>
  <c r="X1665" i="5" s="1"/>
  <c r="V1666" i="5"/>
  <c r="E1666" i="5"/>
  <c r="X1666" i="5" s="1"/>
  <c r="V1667" i="5"/>
  <c r="E1667" i="5"/>
  <c r="X1667" i="5" s="1"/>
  <c r="V1668" i="5"/>
  <c r="E1668" i="5"/>
  <c r="X1668" i="5" s="1"/>
  <c r="V1669" i="5"/>
  <c r="E1669" i="5"/>
  <c r="X1669" i="5" s="1"/>
  <c r="V1670" i="5"/>
  <c r="E1670" i="5"/>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V1711" i="5"/>
  <c r="E1711" i="5"/>
  <c r="X1711" i="5" s="1"/>
  <c r="V1712" i="5"/>
  <c r="E1712" i="5"/>
  <c r="X1712" i="5" s="1"/>
  <c r="V1713" i="5"/>
  <c r="E1713" i="5"/>
  <c r="X1713" i="5" s="1"/>
  <c r="V1714" i="5"/>
  <c r="E1714" i="5"/>
  <c r="X1714" i="5" s="1"/>
  <c r="V1715" i="5"/>
  <c r="E1715" i="5"/>
  <c r="X1715" i="5" s="1"/>
  <c r="V1716" i="5"/>
  <c r="E1716" i="5"/>
  <c r="X1716" i="5" s="1"/>
  <c r="V1717" i="5"/>
  <c r="E1717" i="5"/>
  <c r="V1718" i="5"/>
  <c r="E1718" i="5"/>
  <c r="X1718" i="5" s="1"/>
  <c r="V1719" i="5"/>
  <c r="E1719" i="5"/>
  <c r="X1719" i="5" s="1"/>
  <c r="V1720" i="5"/>
  <c r="E1720" i="5"/>
  <c r="X1720" i="5" s="1"/>
  <c r="V1721" i="5"/>
  <c r="E1721" i="5"/>
  <c r="X1721" i="5" s="1"/>
  <c r="V1722" i="5"/>
  <c r="E1722" i="5"/>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V1826" i="5"/>
  <c r="E1826" i="5"/>
  <c r="X1826" i="5" s="1"/>
  <c r="V1827" i="5"/>
  <c r="E1827" i="5"/>
  <c r="X1827" i="5" s="1"/>
  <c r="V1828" i="5"/>
  <c r="E1828" i="5"/>
  <c r="X1828" i="5" s="1"/>
  <c r="V1829" i="5"/>
  <c r="E1829" i="5"/>
  <c r="X1829" i="5" s="1"/>
  <c r="V1830" i="5"/>
  <c r="E1830" i="5"/>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V1855" i="5"/>
  <c r="E1855" i="5"/>
  <c r="X1855" i="5" s="1"/>
  <c r="V1856" i="5"/>
  <c r="E1856" i="5"/>
  <c r="X1856" i="5" s="1"/>
  <c r="V1857" i="5"/>
  <c r="E1857" i="5"/>
  <c r="X1857" i="5" s="1"/>
  <c r="V1858" i="5"/>
  <c r="E1858" i="5"/>
  <c r="X1858" i="5" s="1"/>
  <c r="V1859" i="5"/>
  <c r="E1859" i="5"/>
  <c r="X1859" i="5" s="1"/>
  <c r="V1860" i="5"/>
  <c r="E1860" i="5"/>
  <c r="X1860" i="5" s="1"/>
  <c r="V1861" i="5"/>
  <c r="E1861" i="5"/>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V1875" i="5"/>
  <c r="E1875" i="5"/>
  <c r="X1875" i="5" s="1"/>
  <c r="V1876" i="5"/>
  <c r="E1876" i="5"/>
  <c r="X1876" i="5" s="1"/>
  <c r="V1877" i="5"/>
  <c r="E1877" i="5"/>
  <c r="X1877" i="5" s="1"/>
  <c r="V1878" i="5"/>
  <c r="E1878" i="5"/>
  <c r="X1878" i="5" s="1"/>
  <c r="V1879" i="5"/>
  <c r="E1879" i="5"/>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V1893" i="5"/>
  <c r="E1893" i="5"/>
  <c r="X1893" i="5" s="1"/>
  <c r="V1894" i="5"/>
  <c r="E1894" i="5"/>
  <c r="X1894" i="5" s="1"/>
  <c r="V1895" i="5"/>
  <c r="E1895" i="5"/>
  <c r="X1895" i="5" s="1"/>
  <c r="V1896" i="5"/>
  <c r="E1896" i="5"/>
  <c r="X1896" i="5" s="1"/>
  <c r="V1897" i="5"/>
  <c r="E1897" i="5"/>
  <c r="X1897" i="5" s="1"/>
  <c r="V1898" i="5"/>
  <c r="E1898" i="5"/>
  <c r="V1899" i="5"/>
  <c r="E1899" i="5"/>
  <c r="X1899" i="5" s="1"/>
  <c r="V1900" i="5"/>
  <c r="E1900" i="5"/>
  <c r="X1900" i="5" s="1"/>
  <c r="V1901" i="5"/>
  <c r="E1901" i="5"/>
  <c r="X1901" i="5" s="1"/>
  <c r="V1902" i="5"/>
  <c r="E1902" i="5"/>
  <c r="X1902" i="5" s="1"/>
  <c r="V1903" i="5"/>
  <c r="E1903" i="5"/>
  <c r="V1904" i="5"/>
  <c r="E1904" i="5"/>
  <c r="X1904" i="5" s="1"/>
  <c r="V1905" i="5"/>
  <c r="E1905" i="5"/>
  <c r="X1905" i="5" s="1"/>
  <c r="V1906" i="5"/>
  <c r="E1906" i="5"/>
  <c r="X1906" i="5" s="1"/>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V2055" i="5"/>
  <c r="E2055" i="5"/>
  <c r="X2055" i="5" s="1"/>
  <c r="V2056" i="5"/>
  <c r="E2056" i="5"/>
  <c r="X2056" i="5" s="1"/>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V2084" i="5"/>
  <c r="E2084" i="5"/>
  <c r="X2084" i="5" s="1"/>
  <c r="V2085" i="5"/>
  <c r="E2085" i="5"/>
  <c r="X2085" i="5" s="1"/>
  <c r="V2086" i="5"/>
  <c r="E2086" i="5"/>
  <c r="X2086" i="5" s="1"/>
  <c r="V2087" i="5"/>
  <c r="E2087" i="5"/>
  <c r="X2087" i="5" s="1"/>
  <c r="V2088" i="5"/>
  <c r="E2088" i="5"/>
  <c r="X2088" i="5" s="1"/>
  <c r="V2089" i="5"/>
  <c r="E2089" i="5"/>
  <c r="X2089" i="5" s="1"/>
  <c r="V2090" i="5"/>
  <c r="E2090" i="5"/>
  <c r="V2091" i="5"/>
  <c r="E2091" i="5"/>
  <c r="X2091" i="5" s="1"/>
  <c r="V2092" i="5"/>
  <c r="E2092" i="5"/>
  <c r="X2092" i="5" s="1"/>
  <c r="V2093" i="5"/>
  <c r="E2093" i="5"/>
  <c r="X2093" i="5" s="1"/>
  <c r="V2094" i="5"/>
  <c r="E2094" i="5"/>
  <c r="X2094" i="5" s="1"/>
  <c r="V2095" i="5"/>
  <c r="E2095" i="5"/>
  <c r="X2095" i="5" s="1"/>
  <c r="V2096" i="5"/>
  <c r="E2096" i="5"/>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V2181" i="5"/>
  <c r="E2181" i="5"/>
  <c r="X2181" i="5" s="1"/>
  <c r="V2182" i="5"/>
  <c r="E2182" i="5"/>
  <c r="X2182" i="5" s="1"/>
  <c r="V2183" i="5"/>
  <c r="E2183" i="5"/>
  <c r="X2183" i="5" s="1"/>
  <c r="V2184" i="5"/>
  <c r="E2184" i="5"/>
  <c r="X2184" i="5" s="1"/>
  <c r="V2185" i="5"/>
  <c r="E2185" i="5"/>
  <c r="X2185" i="5" s="1"/>
  <c r="V2186" i="5"/>
  <c r="E2186" i="5"/>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V2408" i="5"/>
  <c r="E2408" i="5"/>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V2468" i="5"/>
  <c r="E2468" i="5"/>
  <c r="X2468" i="5" s="1"/>
  <c r="V2469" i="5"/>
  <c r="E2469" i="5"/>
  <c r="X2469" i="5" s="1"/>
  <c r="V2470" i="5"/>
  <c r="E2470" i="5"/>
  <c r="X2470" i="5" s="1"/>
  <c r="V2471" i="5"/>
  <c r="E2471" i="5"/>
  <c r="X2471" i="5" s="1"/>
  <c r="V2472" i="5"/>
  <c r="E2472" i="5"/>
  <c r="X2472" i="5" s="1"/>
  <c r="V2473" i="5"/>
  <c r="E2473" i="5"/>
  <c r="X2473" i="5" s="1"/>
  <c r="V2474" i="5"/>
  <c r="E2474" i="5"/>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X2493" i="5" s="1"/>
  <c r="V2494" i="5"/>
  <c r="E2494" i="5"/>
  <c r="X2494" i="5" s="1"/>
  <c r="V2495" i="5"/>
  <c r="E2495" i="5"/>
  <c r="X2495" i="5" s="1"/>
  <c r="V2496" i="5"/>
  <c r="E2496" i="5"/>
  <c r="X2496" i="5" s="1"/>
  <c r="V2497" i="5"/>
  <c r="E2497" i="5"/>
  <c r="X2497" i="5" s="1"/>
  <c r="V2498" i="5"/>
  <c r="E2498" i="5"/>
  <c r="X2498" i="5" s="1"/>
  <c r="E2499" i="5"/>
  <c r="X2499" i="5" s="1"/>
  <c r="V2504" i="5"/>
  <c r="E2504" i="5"/>
  <c r="X2504" i="5" s="1"/>
  <c r="F39" i="6"/>
  <c r="F98" i="6" s="1"/>
  <c r="H98" i="6" s="1"/>
  <c r="D98" i="6" s="1"/>
  <c r="F28" i="6"/>
  <c r="H28" i="6" s="1"/>
  <c r="F17" i="6"/>
  <c r="C123" i="6"/>
  <c r="C122" i="6"/>
  <c r="C121" i="6"/>
  <c r="C120" i="6"/>
  <c r="G103" i="6"/>
  <c r="G102" i="6"/>
  <c r="G100" i="6"/>
  <c r="G88" i="6"/>
  <c r="G87" i="6"/>
  <c r="G86" i="6"/>
  <c r="G85" i="6"/>
  <c r="G84" i="6"/>
  <c r="F50" i="6"/>
  <c r="H50" i="6" s="1"/>
  <c r="D50" i="6" s="1"/>
  <c r="G83" i="6"/>
  <c r="G77" i="6"/>
  <c r="G76" i="6"/>
  <c r="G75" i="6"/>
  <c r="G74" i="6"/>
  <c r="G73" i="6"/>
  <c r="G72" i="6"/>
  <c r="J74" i="6"/>
  <c r="G66" i="6"/>
  <c r="G65" i="6"/>
  <c r="G64" i="6"/>
  <c r="G63" i="6"/>
  <c r="G62" i="6"/>
  <c r="G61" i="6"/>
  <c r="G55" i="6"/>
  <c r="G54" i="6"/>
  <c r="G53" i="6"/>
  <c r="G52" i="6"/>
  <c r="G51" i="6"/>
  <c r="G50" i="6"/>
  <c r="G44" i="6"/>
  <c r="G43" i="6"/>
  <c r="G42" i="6"/>
  <c r="G41" i="6"/>
  <c r="G40" i="6"/>
  <c r="G39" i="6"/>
  <c r="H39" i="6"/>
  <c r="D39" i="6" s="1"/>
  <c r="G33" i="6"/>
  <c r="G32" i="6"/>
  <c r="G31" i="6"/>
  <c r="G30" i="6"/>
  <c r="G29" i="6"/>
  <c r="G28" i="6"/>
  <c r="G17" i="6"/>
  <c r="H17" i="6" s="1"/>
  <c r="D17" i="6" s="1"/>
  <c r="H7" i="6"/>
  <c r="D7" i="6"/>
  <c r="G9" i="6"/>
  <c r="H9" i="6"/>
  <c r="D9" i="6" s="1"/>
  <c r="C37" i="6"/>
  <c r="C36" i="6"/>
  <c r="C35" i="6"/>
  <c r="C34" i="6"/>
  <c r="I33" i="6"/>
  <c r="J33" i="6"/>
  <c r="I32" i="6"/>
  <c r="J32" i="6"/>
  <c r="I31" i="6"/>
  <c r="J31" i="6"/>
  <c r="I30" i="6"/>
  <c r="J30" i="6"/>
  <c r="I29" i="6"/>
  <c r="J29" i="6"/>
  <c r="B155" i="5"/>
  <c r="B156" i="5"/>
  <c r="B190" i="5"/>
  <c r="B191" i="5"/>
  <c r="B289" i="5"/>
  <c r="B290" i="5"/>
  <c r="B347" i="5"/>
  <c r="B348" i="5"/>
  <c r="B394" i="5"/>
  <c r="B395"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114" i="6"/>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s="1"/>
  <c r="G4" i="6"/>
  <c r="H4" i="6"/>
  <c r="B21" i="13"/>
  <c r="C4" i="8"/>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F114" i="6"/>
  <c r="B2" i="6" s="1"/>
  <c r="H114" i="6"/>
  <c r="D114" i="6" s="1"/>
  <c r="G94" i="6"/>
  <c r="G95" i="6"/>
  <c r="G96" i="6"/>
  <c r="G98" i="6"/>
  <c r="G99" i="6"/>
  <c r="H99" i="6" s="1"/>
  <c r="D99" i="6" s="1"/>
  <c r="G108" i="6"/>
  <c r="G109" i="6"/>
  <c r="G110" i="6"/>
  <c r="G111" i="6"/>
  <c r="G10" i="6"/>
  <c r="H10" i="6" s="1"/>
  <c r="D10" i="6" s="1"/>
  <c r="G13" i="6"/>
  <c r="H13" i="6" s="1"/>
  <c r="G5" i="6"/>
  <c r="H5" i="6" s="1"/>
  <c r="F6" i="6"/>
  <c r="H6" i="6" s="1"/>
  <c r="G6" i="6"/>
  <c r="G11" i="6"/>
  <c r="H11" i="6" s="1"/>
  <c r="H14" i="6"/>
  <c r="G15" i="6"/>
  <c r="H15" i="6" s="1"/>
  <c r="D15" i="6" s="1"/>
  <c r="H16" i="6"/>
  <c r="I4" i="6"/>
  <c r="I5" i="6"/>
  <c r="J5" i="6"/>
  <c r="I6" i="6"/>
  <c r="J6" i="6"/>
  <c r="I9" i="6"/>
  <c r="C9" i="6" s="1"/>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21" i="5"/>
  <c r="X25" i="5"/>
  <c r="X26" i="5"/>
  <c r="X29" i="5"/>
  <c r="X33" i="5"/>
  <c r="X37" i="5"/>
  <c r="X41" i="5"/>
  <c r="X45" i="5"/>
  <c r="X49" i="5"/>
  <c r="X50" i="5"/>
  <c r="X53" i="5"/>
  <c r="X57" i="5"/>
  <c r="X61" i="5"/>
  <c r="X65" i="5"/>
  <c r="X69" i="5"/>
  <c r="X73" i="5"/>
  <c r="X77" i="5"/>
  <c r="X81" i="5"/>
  <c r="X85" i="5"/>
  <c r="X86" i="5"/>
  <c r="X89" i="5"/>
  <c r="X93" i="5"/>
  <c r="X97" i="5"/>
  <c r="X101" i="5"/>
  <c r="X105" i="5"/>
  <c r="X109" i="5"/>
  <c r="X110" i="5"/>
  <c r="X113" i="5"/>
  <c r="X117" i="5"/>
  <c r="X121" i="5"/>
  <c r="X125" i="5"/>
  <c r="X126" i="5"/>
  <c r="X129" i="5"/>
  <c r="X133" i="5"/>
  <c r="X134" i="5"/>
  <c r="X137" i="5"/>
  <c r="X141" i="5"/>
  <c r="X145" i="5"/>
  <c r="X149" i="5"/>
  <c r="X153" i="5"/>
  <c r="X190" i="5"/>
  <c r="X224" i="5"/>
  <c r="X260" i="5"/>
  <c r="X291" i="5"/>
  <c r="X295" i="5"/>
  <c r="X299" i="5"/>
  <c r="X303" i="5"/>
  <c r="X307" i="5"/>
  <c r="X311" i="5"/>
  <c r="X312" i="5"/>
  <c r="X315" i="5"/>
  <c r="X319" i="5"/>
  <c r="X323" i="5"/>
  <c r="X327" i="5"/>
  <c r="X331" i="5"/>
  <c r="X335" i="5"/>
  <c r="X339" i="5"/>
  <c r="X343" i="5"/>
  <c r="X380" i="5"/>
  <c r="X415" i="5"/>
  <c r="X445" i="5"/>
  <c r="X468" i="5"/>
  <c r="X481" i="5"/>
  <c r="X517" i="5"/>
  <c r="X530" i="5"/>
  <c r="X553" i="5"/>
  <c r="X583" i="5"/>
  <c r="X614" i="5"/>
  <c r="X631" i="5"/>
  <c r="X649" i="5"/>
  <c r="X697" i="5"/>
  <c r="X698" i="5"/>
  <c r="X710" i="5"/>
  <c r="X721" i="5"/>
  <c r="X756" i="5"/>
  <c r="X757" i="5"/>
  <c r="X758" i="5"/>
  <c r="X781" i="5"/>
  <c r="X823" i="5"/>
  <c r="X842" i="5"/>
  <c r="X847" i="5"/>
  <c r="X854" i="5"/>
  <c r="X883" i="5"/>
  <c r="X900" i="5"/>
  <c r="X907" i="5"/>
  <c r="X962" i="5"/>
  <c r="X973" i="5"/>
  <c r="X986" i="5"/>
  <c r="X998" i="5"/>
  <c r="X1009" i="5"/>
  <c r="X1039" i="5"/>
  <c r="X1046" i="5"/>
  <c r="X1070" i="5"/>
  <c r="X1075" i="5"/>
  <c r="X1082" i="5"/>
  <c r="X1099" i="5"/>
  <c r="X1147" i="5"/>
  <c r="X1166" i="5"/>
  <c r="X1177" i="5"/>
  <c r="X1214" i="5"/>
  <c r="X1226" i="5"/>
  <c r="X1237" i="5"/>
  <c r="X1267" i="5"/>
  <c r="X1274" i="5"/>
  <c r="X1291" i="5"/>
  <c r="X1333" i="5"/>
  <c r="X1352" i="5"/>
  <c r="X1363" i="5"/>
  <c r="X1398" i="5"/>
  <c r="X1399" i="5"/>
  <c r="X1435" i="5"/>
  <c r="X1483" i="5"/>
  <c r="X1513" i="5"/>
  <c r="X1542" i="5"/>
  <c r="X1544" i="5"/>
  <c r="X1556" i="5"/>
  <c r="X1566" i="5"/>
  <c r="X1578" i="5"/>
  <c r="X1591" i="5"/>
  <c r="X1598" i="5"/>
  <c r="X1621" i="5"/>
  <c r="X1663" i="5"/>
  <c r="X1670" i="5"/>
  <c r="X1686" i="5"/>
  <c r="X1710" i="5"/>
  <c r="X1717" i="5"/>
  <c r="X1722" i="5"/>
  <c r="X1747" i="5"/>
  <c r="X1789" i="5"/>
  <c r="X1825" i="5"/>
  <c r="X1830" i="5"/>
  <c r="X1854" i="5"/>
  <c r="X1861" i="5"/>
  <c r="X1874" i="5"/>
  <c r="X1879" i="5"/>
  <c r="X1892" i="5"/>
  <c r="X1898" i="5"/>
  <c r="X1903" i="5"/>
  <c r="X1910" i="5"/>
  <c r="X1933" i="5"/>
  <c r="X1974" i="5"/>
  <c r="X1988" i="5"/>
  <c r="X1998" i="5"/>
  <c r="X2006" i="5"/>
  <c r="X2024" i="5"/>
  <c r="X2042" i="5"/>
  <c r="X2054" i="5"/>
  <c r="X2060" i="5"/>
  <c r="X2083" i="5"/>
  <c r="X2090" i="5"/>
  <c r="X2096" i="5"/>
  <c r="X2118" i="5"/>
  <c r="X2131" i="5"/>
  <c r="X2180" i="5"/>
  <c r="X2186" i="5"/>
  <c r="X2197" i="5"/>
  <c r="X2222" i="5"/>
  <c r="X2335" i="5"/>
  <c r="X2390" i="5"/>
  <c r="X2407" i="5"/>
  <c r="X2408" i="5"/>
  <c r="X2426" i="5"/>
  <c r="X2467" i="5"/>
  <c r="X2474"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H14" i="5"/>
  <c r="A5" i="2"/>
  <c r="C2" i="6"/>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F14" i="5"/>
  <c r="I14" i="5"/>
  <c r="H2420" i="5"/>
  <c r="H213" i="5"/>
  <c r="H1180" i="5"/>
  <c r="F1820" i="5"/>
  <c r="F2100" i="5"/>
  <c r="H2468" i="5"/>
  <c r="G21" i="5"/>
  <c r="G14" i="5"/>
  <c r="F15"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821" i="5"/>
  <c r="F789" i="5"/>
  <c r="J661" i="5"/>
  <c r="J1317" i="5"/>
  <c r="H1541" i="5"/>
  <c r="H637" i="5"/>
  <c r="J1021" i="5"/>
  <c r="F1852" i="5"/>
  <c r="F1748" i="5"/>
  <c r="R1404" i="5"/>
  <c r="J924" i="5"/>
  <c r="R1697" i="5"/>
  <c r="I2476" i="5"/>
  <c r="J1852" i="5"/>
  <c r="H15" i="5"/>
  <c r="F788" i="5"/>
  <c r="F421" i="5"/>
  <c r="R1117" i="5"/>
  <c r="R861" i="5"/>
  <c r="R821" i="5"/>
  <c r="R661" i="5"/>
  <c r="J154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I1433"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D6" i="6"/>
  <c r="D5" i="6"/>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AA14" i="4" a="1"/>
  <c r="AA14" i="4"/>
  <c r="AA15" i="4" a="1"/>
  <c r="B31" i="4"/>
  <c r="A18" i="6"/>
  <c r="F40" i="6"/>
  <c r="F51" i="6" s="1"/>
  <c r="B32" i="4"/>
  <c r="A19" i="6"/>
  <c r="F41" i="6"/>
  <c r="F100" i="6" s="1"/>
  <c r="H100" i="6" s="1"/>
  <c r="D100" i="6" s="1"/>
  <c r="AA15" i="4"/>
  <c r="B33" i="4"/>
  <c r="A20" i="6"/>
  <c r="F42" i="6"/>
  <c r="F53" i="6" s="1"/>
  <c r="F18" i="6"/>
  <c r="H18" i="6"/>
  <c r="D18" i="6" s="1"/>
  <c r="F19" i="6"/>
  <c r="H19" i="6"/>
  <c r="D19" i="6" s="1"/>
  <c r="F20" i="6"/>
  <c r="H20" i="6"/>
  <c r="D20" i="6" s="1"/>
  <c r="O33" i="4"/>
  <c r="P57" i="4"/>
  <c r="B81" i="4" s="1"/>
  <c r="A64" i="6" s="1"/>
  <c r="B123" i="4"/>
  <c r="A101" i="6" s="1"/>
  <c r="O32" i="4"/>
  <c r="P56" i="4"/>
  <c r="B104" i="4" s="1"/>
  <c r="A85" i="6" s="1"/>
  <c r="B122" i="4"/>
  <c r="A100" i="6"/>
  <c r="B105" i="4"/>
  <c r="A86" i="6"/>
  <c r="B93" i="4"/>
  <c r="A75" i="6" s="1"/>
  <c r="B92" i="4"/>
  <c r="A74" i="6" s="1"/>
  <c r="B80" i="4"/>
  <c r="A63" i="6"/>
  <c r="B69" i="4"/>
  <c r="A53" i="6"/>
  <c r="B57" i="4"/>
  <c r="A42" i="6" s="1"/>
  <c r="B56" i="4"/>
  <c r="A41" i="6" s="1"/>
  <c r="P45" i="4"/>
  <c r="B45" i="4"/>
  <c r="A31" i="6"/>
  <c r="P44" i="4"/>
  <c r="B44" i="4" s="1"/>
  <c r="A30" i="6" s="1"/>
  <c r="C20" i="6"/>
  <c r="F116" i="6"/>
  <c r="H116" i="6" s="1"/>
  <c r="D116" i="6" s="1"/>
  <c r="A116" i="6"/>
  <c r="G116" i="6"/>
  <c r="F117" i="6"/>
  <c r="H117" i="6" s="1"/>
  <c r="D117" i="6" s="1"/>
  <c r="A117" i="6"/>
  <c r="G117" i="6"/>
  <c r="H42" i="6"/>
  <c r="F52" i="6"/>
  <c r="H52" i="6" s="1"/>
  <c r="D52" i="6" s="1"/>
  <c r="F63" i="6"/>
  <c r="F74" i="6" s="1"/>
  <c r="F101" i="6"/>
  <c r="F30" i="6"/>
  <c r="H30" i="6" s="1"/>
  <c r="F31" i="6"/>
  <c r="H31" i="6"/>
  <c r="D31" i="6" s="1"/>
  <c r="K117" i="6"/>
  <c r="D42" i="6"/>
  <c r="F29" i="6"/>
  <c r="H29" i="6"/>
  <c r="C29" i="6" s="1"/>
  <c r="D29" i="6"/>
  <c r="F99" i="6"/>
  <c r="F115" i="6"/>
  <c r="H115" i="6" s="1"/>
  <c r="D115" i="6" s="1"/>
  <c r="A115" i="6"/>
  <c r="G115" i="6"/>
  <c r="O31" i="4"/>
  <c r="P43" i="4"/>
  <c r="B43" i="4" s="1"/>
  <c r="A29" i="6" s="1"/>
  <c r="P55" i="4"/>
  <c r="B55" i="4" s="1"/>
  <c r="A40" i="6" s="1"/>
  <c r="B67" i="4"/>
  <c r="A51" i="6"/>
  <c r="B79" i="4"/>
  <c r="A62" i="6" s="1"/>
  <c r="B103" i="4"/>
  <c r="A84" i="6" s="1"/>
  <c r="B121" i="4"/>
  <c r="A99" i="6" s="1"/>
  <c r="AA16" i="4" a="1"/>
  <c r="AA16" i="4"/>
  <c r="A118" i="6"/>
  <c r="G118" i="6"/>
  <c r="AA17" i="4" a="1"/>
  <c r="AA17" i="4"/>
  <c r="A119" i="6"/>
  <c r="G119" i="6"/>
  <c r="B34" i="4"/>
  <c r="A21" i="6"/>
  <c r="F43" i="6"/>
  <c r="F54" i="6" s="1"/>
  <c r="F118" i="6"/>
  <c r="H118" i="6" s="1"/>
  <c r="D118" i="6" s="1"/>
  <c r="F21" i="6"/>
  <c r="H21" i="6"/>
  <c r="D21" i="6" s="1"/>
  <c r="C21" i="6"/>
  <c r="H43" i="6"/>
  <c r="D43" i="6" s="1"/>
  <c r="F102" i="6"/>
  <c r="H102" i="6"/>
  <c r="C102" i="6" s="1"/>
  <c r="F32" i="6"/>
  <c r="H32" i="6"/>
  <c r="K118" i="6" s="1"/>
  <c r="D32" i="6"/>
  <c r="O34" i="4"/>
  <c r="P46" i="4"/>
  <c r="B46" i="4"/>
  <c r="A32" i="6"/>
  <c r="P58" i="4"/>
  <c r="B106" i="4" s="1"/>
  <c r="A87" i="6" s="1"/>
  <c r="B58" i="4"/>
  <c r="A43" i="6" s="1"/>
  <c r="B82" i="4"/>
  <c r="A65" i="6"/>
  <c r="B94" i="4"/>
  <c r="A76" i="6"/>
  <c r="B124" i="4"/>
  <c r="A102" i="6" s="1"/>
  <c r="B35" i="4"/>
  <c r="O35" i="4"/>
  <c r="P59" i="4"/>
  <c r="B125" i="4"/>
  <c r="A103" i="6"/>
  <c r="B107" i="4"/>
  <c r="A88" i="6" s="1"/>
  <c r="B95" i="4"/>
  <c r="A77" i="6" s="1"/>
  <c r="B83" i="4"/>
  <c r="A66" i="6"/>
  <c r="B71" i="4"/>
  <c r="A55" i="6"/>
  <c r="B59" i="4"/>
  <c r="A44" i="6" s="1"/>
  <c r="P47" i="4"/>
  <c r="B47" i="4"/>
  <c r="A33" i="6"/>
  <c r="A22" i="6"/>
  <c r="F22" i="6"/>
  <c r="H22" i="6"/>
  <c r="D22" i="6"/>
  <c r="F33" i="6"/>
  <c r="H33" i="6" s="1"/>
  <c r="F44" i="6"/>
  <c r="F94" i="6" s="1"/>
  <c r="F119" i="6"/>
  <c r="H119" i="6" s="1"/>
  <c r="D119" i="6" s="1"/>
  <c r="AA18" i="4" a="1"/>
  <c r="AA18" i="4"/>
  <c r="AA19" i="4" a="1"/>
  <c r="AA19" i="4"/>
  <c r="AA20" i="4" a="1"/>
  <c r="AA20" i="4"/>
  <c r="B38" i="4"/>
  <c r="O38" i="4"/>
  <c r="P62" i="4"/>
  <c r="B98" i="4" s="1"/>
  <c r="A80" i="6" s="1"/>
  <c r="B128" i="4"/>
  <c r="A106" i="6" s="1"/>
  <c r="P50" i="4"/>
  <c r="B50" i="4" s="1"/>
  <c r="A36" i="6" s="1"/>
  <c r="A25" i="6"/>
  <c r="B37" i="4"/>
  <c r="A24" i="6"/>
  <c r="O37" i="4"/>
  <c r="P49" i="4"/>
  <c r="B49" i="4" s="1"/>
  <c r="A35" i="6" s="1"/>
  <c r="P61" i="4"/>
  <c r="B85" i="4" s="1"/>
  <c r="A68" i="6" s="1"/>
  <c r="B61" i="4"/>
  <c r="A46" i="6"/>
  <c r="B73" i="4"/>
  <c r="A57" i="6"/>
  <c r="B97" i="4"/>
  <c r="A79" i="6" s="1"/>
  <c r="B109" i="4"/>
  <c r="A90" i="6" s="1"/>
  <c r="B36" i="4"/>
  <c r="O36" i="4"/>
  <c r="P60" i="4"/>
  <c r="B108" i="4" s="1"/>
  <c r="A89" i="6" s="1"/>
  <c r="B126" i="4"/>
  <c r="A104" i="6" s="1"/>
  <c r="B60" i="4"/>
  <c r="A45" i="6" s="1"/>
  <c r="P48" i="4"/>
  <c r="B48" i="4" s="1"/>
  <c r="A34" i="6" s="1"/>
  <c r="A23" i="6"/>
  <c r="A120" i="6"/>
  <c r="A121" i="6"/>
  <c r="A122" i="6"/>
  <c r="AA21" i="4" a="1"/>
  <c r="AA21" i="4"/>
  <c r="A123" i="6"/>
  <c r="B39" i="4"/>
  <c r="O39" i="4"/>
  <c r="P63" i="4"/>
  <c r="B129" i="4" s="1"/>
  <c r="A107" i="6" s="1"/>
  <c r="AA22" i="4"/>
  <c r="AA23" i="4"/>
  <c r="Q53" i="4"/>
  <c r="B89" i="4" s="1"/>
  <c r="A71" i="6" s="1"/>
  <c r="B87" i="4"/>
  <c r="A70" i="6" s="1"/>
  <c r="B75" i="4"/>
  <c r="A59" i="6" s="1"/>
  <c r="P51" i="4"/>
  <c r="B51" i="4"/>
  <c r="A37" i="6" s="1"/>
  <c r="Q41" i="4"/>
  <c r="B41" i="4"/>
  <c r="A27" i="6" s="1"/>
  <c r="A26" i="6"/>
  <c r="H101" i="6" l="1"/>
  <c r="D101" i="6" s="1"/>
  <c r="C42" i="6"/>
  <c r="H112" i="6"/>
  <c r="D112" i="6" s="1"/>
  <c r="F108" i="6"/>
  <c r="H108" i="6" s="1"/>
  <c r="D108" i="6" s="1"/>
  <c r="H94" i="6"/>
  <c r="D94" i="6" s="1"/>
  <c r="F109" i="6"/>
  <c r="H109" i="6" s="1"/>
  <c r="D109" i="6" s="1"/>
  <c r="F111" i="6"/>
  <c r="H111" i="6" s="1"/>
  <c r="D111" i="6" s="1"/>
  <c r="K119" i="6"/>
  <c r="D33" i="6"/>
  <c r="K116" i="6"/>
  <c r="C30" i="6"/>
  <c r="D30" i="6"/>
  <c r="H74" i="6"/>
  <c r="D74" i="6" s="1"/>
  <c r="F85" i="6"/>
  <c r="H85" i="6" s="1"/>
  <c r="H53" i="6"/>
  <c r="F64" i="6"/>
  <c r="F65" i="6"/>
  <c r="H54" i="6"/>
  <c r="D54" i="6" s="1"/>
  <c r="F103" i="6"/>
  <c r="H103" i="6" s="1"/>
  <c r="C117" i="6"/>
  <c r="B110" i="4"/>
  <c r="A91" i="6" s="1"/>
  <c r="D102" i="6"/>
  <c r="H63" i="6"/>
  <c r="D63" i="6" s="1"/>
  <c r="C114" i="6"/>
  <c r="C19" i="6"/>
  <c r="C101" i="6"/>
  <c r="C43" i="6"/>
  <c r="B99" i="4"/>
  <c r="A81" i="6" s="1"/>
  <c r="B72" i="4"/>
  <c r="A56" i="6" s="1"/>
  <c r="B62" i="4"/>
  <c r="A47" i="6" s="1"/>
  <c r="C52" i="6"/>
  <c r="C119" i="6"/>
  <c r="C118" i="6"/>
  <c r="B127" i="4"/>
  <c r="A105" i="6" s="1"/>
  <c r="F55" i="6"/>
  <c r="B70" i="4"/>
  <c r="A54" i="6" s="1"/>
  <c r="C22" i="6"/>
  <c r="B84" i="4"/>
  <c r="A67" i="6" s="1"/>
  <c r="B74" i="4"/>
  <c r="A58" i="6" s="1"/>
  <c r="H44" i="6"/>
  <c r="C54" i="6"/>
  <c r="C31" i="6"/>
  <c r="B96" i="4"/>
  <c r="A78" i="6" s="1"/>
  <c r="B86" i="4"/>
  <c r="A69" i="6" s="1"/>
  <c r="C63" i="6"/>
  <c r="C32" i="6"/>
  <c r="B63" i="4"/>
  <c r="A48" i="6" s="1"/>
  <c r="H41" i="6"/>
  <c r="D41" i="6" s="1"/>
  <c r="C116" i="6"/>
  <c r="B111" i="4"/>
  <c r="A92" i="6" s="1"/>
  <c r="B68" i="4"/>
  <c r="A52" i="6" s="1"/>
  <c r="C100" i="6"/>
  <c r="C33" i="6"/>
  <c r="H51" i="6"/>
  <c r="F62" i="6"/>
  <c r="B53" i="4"/>
  <c r="A38" i="6" s="1"/>
  <c r="B101" i="4"/>
  <c r="A82" i="6" s="1"/>
  <c r="B91" i="4"/>
  <c r="A73" i="6" s="1"/>
  <c r="K115" i="6"/>
  <c r="B65" i="4"/>
  <c r="A49" i="6" s="1"/>
  <c r="F110" i="6"/>
  <c r="H110" i="6" s="1"/>
  <c r="D110" i="6" s="1"/>
  <c r="B77" i="4"/>
  <c r="A60" i="6" s="1"/>
  <c r="C99" i="6"/>
  <c r="H40" i="6"/>
  <c r="D40" i="6" s="1"/>
  <c r="F95" i="6"/>
  <c r="C18" i="6"/>
  <c r="C115" i="6"/>
  <c r="C40" i="6"/>
  <c r="D28" i="6"/>
  <c r="K114" i="6"/>
  <c r="C108" i="6"/>
  <c r="B66" i="4"/>
  <c r="A50" i="6" s="1"/>
  <c r="C17" i="6"/>
  <c r="F61" i="6"/>
  <c r="B78" i="4"/>
  <c r="A61" i="6" s="1"/>
  <c r="B131" i="4"/>
  <c r="A108" i="6" s="1"/>
  <c r="B90" i="4"/>
  <c r="A72" i="6" s="1"/>
  <c r="B135" i="4"/>
  <c r="A110" i="6" s="1"/>
  <c r="C111" i="6"/>
  <c r="C39" i="6"/>
  <c r="B137" i="4"/>
  <c r="A111" i="6" s="1"/>
  <c r="C28" i="6"/>
  <c r="C50" i="6"/>
  <c r="C94" i="6"/>
  <c r="C98" i="6"/>
  <c r="C15" i="6"/>
  <c r="C11" i="6"/>
  <c r="D11" i="6"/>
  <c r="C13" i="6"/>
  <c r="D13" i="6"/>
  <c r="C10" i="6"/>
  <c r="C12" i="6"/>
  <c r="C6" i="6"/>
  <c r="C5" i="6"/>
  <c r="C4" i="6"/>
  <c r="G53" i="4"/>
  <c r="G65" i="4"/>
  <c r="D4" i="6"/>
  <c r="F124" i="6"/>
  <c r="C124" i="6" s="1"/>
  <c r="G124" i="6" a="1"/>
  <c r="G124" i="6" s="1"/>
  <c r="G114" i="4"/>
  <c r="G41" i="4"/>
  <c r="G77" i="4"/>
  <c r="G101" i="4"/>
  <c r="D41" i="4"/>
  <c r="D101" i="4"/>
  <c r="D53" i="4"/>
  <c r="D114" i="4"/>
  <c r="D65" i="4"/>
  <c r="D77" i="4"/>
  <c r="C109" i="6" l="1"/>
  <c r="C112" i="6"/>
  <c r="C53" i="6"/>
  <c r="D53" i="6"/>
  <c r="C74" i="6"/>
  <c r="C85" i="6"/>
  <c r="D85" i="6"/>
  <c r="C41" i="6"/>
  <c r="F66" i="6"/>
  <c r="H55" i="6"/>
  <c r="C103" i="6"/>
  <c r="D103" i="6"/>
  <c r="C44" i="6"/>
  <c r="D44" i="6"/>
  <c r="C110" i="6"/>
  <c r="H65" i="6"/>
  <c r="F76" i="6"/>
  <c r="H64" i="6"/>
  <c r="F75" i="6"/>
  <c r="H95" i="6"/>
  <c r="F96" i="6"/>
  <c r="H96" i="6" s="1"/>
  <c r="F73" i="6"/>
  <c r="H62" i="6"/>
  <c r="D51" i="6"/>
  <c r="C51" i="6"/>
  <c r="H61" i="6"/>
  <c r="F72" i="6"/>
  <c r="H124" i="6"/>
  <c r="D124" i="6" s="1"/>
  <c r="H66" i="6" l="1"/>
  <c r="F77" i="6"/>
  <c r="F86" i="6"/>
  <c r="H86" i="6" s="1"/>
  <c r="H75" i="6"/>
  <c r="C64" i="6"/>
  <c r="D64" i="6"/>
  <c r="C55" i="6"/>
  <c r="D55" i="6"/>
  <c r="H76" i="6"/>
  <c r="F87" i="6"/>
  <c r="H87" i="6" s="1"/>
  <c r="D65" i="6"/>
  <c r="C65" i="6"/>
  <c r="D62" i="6"/>
  <c r="C62" i="6"/>
  <c r="F84" i="6"/>
  <c r="H84" i="6" s="1"/>
  <c r="H73" i="6"/>
  <c r="D96" i="6"/>
  <c r="C96" i="6"/>
  <c r="C95" i="6"/>
  <c r="D95" i="6"/>
  <c r="H72" i="6"/>
  <c r="F83" i="6"/>
  <c r="H83" i="6" s="1"/>
  <c r="C61" i="6"/>
  <c r="D61" i="6"/>
  <c r="C87" i="6" l="1"/>
  <c r="D87" i="6"/>
  <c r="C76" i="6"/>
  <c r="D76" i="6"/>
  <c r="D86" i="6"/>
  <c r="C86" i="6"/>
  <c r="F88" i="6"/>
  <c r="H88" i="6" s="1"/>
  <c r="H77" i="6"/>
  <c r="D75" i="6"/>
  <c r="C75" i="6"/>
  <c r="H125" i="6"/>
  <c r="D2" i="6" s="1"/>
  <c r="D66" i="6"/>
  <c r="C66" i="6"/>
  <c r="D73" i="6"/>
  <c r="C73" i="6"/>
  <c r="D84" i="6"/>
  <c r="C84" i="6"/>
  <c r="D83" i="6"/>
  <c r="C83" i="6"/>
  <c r="D72" i="6"/>
  <c r="C72" i="6"/>
  <c r="D77" i="6" l="1"/>
  <c r="C77" i="6"/>
  <c r="C88" i="6"/>
  <c r="D8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<sst xmlns="http://schemas.openxmlformats.org/spreadsheetml/2006/main" count="28002" uniqueCount="20067">
  <si>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</si>
  <si>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</si>
  <si>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</si>
  <si>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</si>
  <si>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</si>
  <si>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</si>
  <si>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</si>
  <si>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</si>
  <si>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</si>
  <si>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</si>
  <si>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</si>
  <si>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</si>
  <si>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</si>
  <si>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</si>
  <si>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</si>
  <si>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</si>
  <si>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</si>
  <si>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</si>
  <si>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</si>
  <si>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</si>
  <si>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</si>
  <si>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</si>
  <si>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</si>
  <si>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</si>
  <si>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</si>
  <si>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</si>
  <si>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</si>
  <si>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</si>
  <si>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</si>
  <si>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</si>
  <si>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</si>
  <si>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</si>
  <si>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</si>
  <si>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</si>
  <si>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</si>
  <si>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</si>
  <si>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</si>
  <si>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</si>
  <si>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</si>
  <si>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</si>
  <si>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</si>
  <si>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</si>
  <si>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</si>
  <si>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</si>
  <si>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</si>
  <si>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</si>
  <si>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</si>
  <si>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</si>
  <si>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</si>
  <si>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</si>
  <si>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</si>
  <si>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</si>
  <si>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</si>
  <si>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</si>
  <si>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</si>
  <si>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</si>
  <si>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</si>
  <si>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</si>
  <si>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</si>
  <si>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</si>
  <si>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</si>
  <si>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</si>
  <si>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</si>
  <si>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</si>
  <si>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</si>
  <si>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</si>
  <si>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</si>
  <si>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</si>
  <si>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</si>
  <si>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</si>
  <si>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</si>
  <si>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</si>
  <si>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</si>
  <si>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</si>
  <si>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</si>
  <si>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</si>
  <si>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</si>
  <si>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</si>
  <si>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</si>
  <si>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</si>
  <si>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</si>
  <si>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</si>
  <si>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</si>
  <si>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</si>
  <si>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</si>
  <si>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</si>
  <si>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</si>
  <si>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</si>
  <si>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</si>
  <si>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</si>
  <si>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</si>
  <si>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</si>
  <si>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</si>
  <si>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</si>
  <si>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</si>
  <si>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</si>
  <si>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</si>
  <si>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</si>
  <si>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</si>
  <si>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</si>
  <si>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</si>
  <si>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</si>
  <si>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</si>
  <si>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</si>
  <si>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</si>
  <si>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</si>
  <si>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</si>
  <si>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</si>
  <si>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</si>
  <si>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</si>
  <si>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</si>
  <si>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</si>
  <si>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</si>
  <si>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</si>
  <si>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</si>
  <si>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</si>
  <si>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</si>
  <si>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</si>
  <si>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</si>
  <si>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</si>
  <si>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</si>
  <si>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</si>
  <si>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</si>
  <si>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</si>
  <si>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</si>
  <si>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</si>
  <si>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</si>
  <si>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</si>
  <si>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</si>
  <si>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</si>
  <si>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</si>
  <si>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</si>
  <si>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</si>
  <si>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</si>
  <si>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</si>
  <si>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</si>
  <si>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</si>
  <si>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</si>
  <si>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</si>
  <si>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</si>
  <si>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</si>
  <si>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</si>
  <si>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</si>
  <si>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</si>
  <si>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</si>
  <si>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</si>
  <si>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</si>
  <si>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</si>
  <si>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</si>
  <si>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</si>
  <si>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</si>
  <si>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</si>
  <si>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</si>
  <si>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</si>
  <si>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</si>
  <si>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</si>
  <si>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</si>
  <si>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</si>
  <si>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</si>
  <si>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</si>
  <si>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</si>
  <si>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</si>
  <si>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</si>
  <si>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</si>
  <si>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</si>
  <si>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</si>
  <si>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</si>
  <si>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</si>
  <si>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</si>
  <si>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</si>
  <si>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</si>
  <si>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</si>
  <si>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</si>
  <si>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</si>
  <si>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</si>
  <si>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</si>
  <si>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</si>
  <si>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</si>
  <si>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</si>
  <si>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</si>
  <si>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</si>
  <si>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</si>
  <si>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</si>
  <si>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</si>
  <si>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</si>
  <si>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</si>
  <si>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</si>
  <si>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</si>
  <si>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</si>
  <si>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</si>
  <si>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</si>
  <si>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</si>
  <si>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</si>
  <si>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</si>
  <si>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</si>
  <si>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</si>
  <si>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</si>
  <si>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</si>
  <si>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</si>
  <si>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</si>
  <si>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</si>
  <si>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</si>
  <si>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</si>
  <si>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</si>
  <si>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</si>
  <si>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</si>
  <si>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</si>
  <si>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</si>
  <si>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</si>
  <si>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</si>
  <si>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</si>
  <si>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</si>
  <si>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</si>
  <si>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</si>
  <si>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</si>
  <si>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</si>
  <si>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</si>
  <si>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</si>
  <si>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</si>
  <si>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</si>
  <si>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</si>
  <si>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</si>
  <si>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</si>
  <si>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</si>
  <si>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</si>
  <si>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</si>
  <si>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</si>
  <si>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</si>
  <si>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</si>
  <si>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</si>
  <si>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</si>
  <si>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</si>
  <si>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</si>
  <si>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</si>
  <si>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</si>
  <si>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</si>
  <si>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</si>
  <si>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</si>
  <si>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</si>
  <si>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</si>
  <si>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</si>
  <si>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</si>
  <si>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</si>
  <si>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</si>
  <si>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</si>
  <si>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</si>
  <si>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</si>
  <si>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</si>
  <si>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</si>
  <si>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</si>
  <si>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</si>
  <si>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</si>
  <si>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</si>
  <si>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</si>
  <si>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</si>
  <si>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</si>
  <si>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</si>
  <si>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</si>
  <si>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</si>
  <si>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</si>
  <si>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</si>
  <si>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</si>
  <si>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</si>
  <si>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</si>
  <si>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</si>
  <si>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</si>
  <si>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</si>
  <si>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</si>
  <si>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</si>
  <si>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</si>
  <si>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</si>
  <si>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</si>
  <si>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</si>
  <si>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</si>
  <si>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</si>
  <si>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</si>
  <si>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</si>
  <si>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</si>
  <si>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</si>
  <si>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</si>
  <si>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</si>
  <si>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</si>
  <si>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</si>
  <si>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</si>
  <si>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</si>
  <si>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</si>
  <si>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</si>
  <si>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</si>
  <si>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</si>
  <si>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</si>
  <si>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</si>
  <si>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</si>
  <si>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</si>
  <si>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</si>
  <si>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</si>
  <si>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</si>
  <si>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</si>
  <si>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</si>
  <si>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</si>
  <si>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</si>
  <si>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</si>
  <si>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</si>
  <si>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</si>
  <si>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</si>
  <si>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</si>
  <si>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</si>
  <si>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</si>
  <si>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</si>
  <si>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</si>
  <si>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</si>
  <si>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</si>
  <si>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</si>
  <si>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</si>
  <si>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</si>
  <si>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</si>
  <si>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</si>
  <si>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</si>
  <si>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</si>
  <si>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</si>
  <si>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</si>
  <si>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</si>
  <si>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</si>
  <si>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</si>
  <si>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</si>
  <si>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</si>
  <si>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</si>
  <si>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</si>
  <si>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</si>
  <si>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</si>
  <si>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</si>
  <si>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</si>
  <si>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</si>
  <si>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</si>
  <si>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</si>
  <si>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</si>
  <si>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</si>
  <si>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</si>
  <si>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</si>
  <si>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</si>
  <si>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</si>
  <si>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</si>
  <si>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</si>
  <si>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</si>
  <si>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</si>
  <si>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</si>
  <si>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</si>
  <si>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</si>
  <si>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</si>
  <si>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</si>
  <si>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</si>
  <si>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</si>
  <si>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</si>
  <si>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</si>
  <si>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</si>
  <si>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</si>
  <si>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</si>
  <si>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</si>
  <si>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</si>
  <si>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</si>
  <si>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</si>
  <si>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</si>
  <si>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</si>
  <si>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</si>
  <si>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</si>
  <si>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</si>
  <si>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</si>
  <si>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</si>
  <si>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</si>
  <si>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</si>
  <si>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</si>
  <si>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</si>
  <si>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</si>
  <si>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</si>
  <si>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</si>
  <si>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</si>
  <si>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</si>
  <si>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</si>
  <si>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</si>
  <si>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</si>
  <si>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</si>
  <si>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</si>
  <si>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</si>
  <si>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</si>
  <si>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</si>
  <si>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</si>
  <si>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</si>
  <si>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</si>
  <si>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</si>
  <si>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</si>
  <si>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</si>
  <si>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</si>
  <si>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</si>
  <si>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</si>
  <si>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</si>
  <si>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</si>
  <si>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</si>
  <si>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</si>
  <si>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</si>
  <si>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</si>
  <si>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</si>
  <si>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</si>
  <si>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</si>
  <si>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</si>
  <si>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</si>
  <si>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</si>
  <si>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</si>
  <si>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</si>
  <si>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</si>
  <si>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</si>
  <si>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</si>
  <si>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</si>
  <si>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</si>
  <si>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</si>
  <si>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</si>
  <si>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</si>
  <si>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</si>
  <si>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</si>
  <si>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</si>
  <si>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</si>
  <si>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</si>
  <si>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</si>
  <si>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</si>
  <si>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</si>
  <si>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</si>
  <si>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</si>
  <si>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</si>
  <si>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</si>
  <si>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</si>
  <si>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</si>
  <si>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</si>
  <si>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</si>
  <si>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</si>
  <si>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</si>
  <si>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</si>
  <si>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</si>
  <si>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</si>
  <si>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</si>
  <si>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</si>
  <si>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</si>
  <si>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</si>
  <si>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</si>
  <si>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</si>
  <si>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</si>
  <si>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</si>
  <si>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</si>
  <si>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</si>
  <si>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</si>
  <si>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</si>
  <si>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</si>
  <si>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</si>
  <si>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</si>
  <si>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</si>
  <si>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</si>
  <si>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</si>
  <si>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</si>
  <si>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</si>
  <si>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</si>
  <si>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</si>
  <si>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</si>
  <si>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</si>
  <si>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</si>
  <si>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</si>
  <si>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</si>
  <si>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</si>
  <si>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</si>
  <si>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</si>
  <si>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</si>
  <si>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</si>
  <si>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</si>
  <si>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</si>
  <si>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</si>
  <si>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</si>
  <si>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</si>
  <si>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</si>
  <si>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</si>
  <si>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</si>
  <si>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</si>
  <si>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</si>
  <si>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</si>
  <si>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</si>
  <si>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</si>
  <si>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</si>
  <si>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</si>
  <si>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</si>
  <si>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</si>
  <si>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</si>
  <si>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</si>
  <si>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</si>
  <si>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</si>
  <si>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</si>
  <si>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</si>
  <si>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</si>
  <si>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</si>
  <si>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</si>
  <si>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</si>
  <si>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</si>
  <si>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</si>
  <si>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</si>
  <si>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</si>
  <si>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</si>
  <si>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</si>
  <si>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</si>
  <si>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</si>
  <si>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</si>
  <si>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</si>
  <si>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</si>
  <si>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</si>
  <si>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</si>
  <si>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</si>
  <si>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</si>
  <si>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</si>
  <si>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</si>
  <si>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</si>
  <si>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</si>
  <si>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</si>
  <si>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</si>
  <si>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</si>
  <si>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</si>
  <si>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</si>
  <si>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</si>
  <si>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</si>
  <si>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</si>
  <si>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</si>
  <si>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</si>
  <si>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</si>
  <si>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</si>
  <si>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</si>
  <si>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</si>
  <si>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</si>
  <si>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</si>
  <si>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</si>
  <si>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</si>
  <si>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</si>
  <si>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</si>
  <si>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</si>
  <si>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</si>
  <si>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</si>
  <si>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</si>
  <si>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</si>
  <si>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</si>
  <si>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</si>
  <si>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</si>
  <si>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</si>
  <si>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</si>
  <si>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</si>
  <si>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</si>
  <si>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</si>
  <si>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</si>
  <si>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</si>
  <si>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</si>
  <si>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</si>
  <si>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</si>
  <si>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</si>
  <si>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</si>
  <si>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</si>
  <si>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</si>
  <si>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</si>
  <si>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</si>
  <si>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</si>
  <si>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</si>
  <si>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</si>
  <si>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</si>
  <si>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</si>
  <si>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</si>
  <si>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</si>
  <si>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</si>
  <si>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</si>
  <si>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</si>
  <si>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</si>
  <si>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</si>
  <si>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</si>
  <si>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</si>
  <si>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</si>
  <si>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</si>
  <si>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</si>
  <si>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</si>
  <si>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</si>
  <si>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</si>
  <si>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</si>
  <si>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</si>
  <si>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</si>
  <si>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</si>
  <si>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</si>
  <si>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</si>
  <si>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</si>
  <si>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</si>
  <si>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</si>
  <si>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</si>
  <si>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</si>
  <si>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</si>
  <si>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</si>
  <si>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</si>
  <si>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</si>
  <si>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</si>
  <si>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</si>
  <si>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</si>
  <si>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</si>
  <si>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</si>
  <si>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</si>
  <si>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</si>
  <si>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</si>
  <si>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</si>
  <si>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</si>
  <si>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</si>
  <si>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</si>
  <si>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</si>
  <si>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</si>
  <si>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</si>
  <si>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</si>
  <si>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</si>
  <si>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</si>
  <si>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</si>
  <si>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</si>
  <si>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</si>
  <si>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</si>
  <si>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</si>
  <si>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</si>
  <si>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</si>
  <si>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</si>
  <si>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</si>
  <si>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</si>
  <si>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</si>
  <si>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</si>
  <si>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</si>
  <si>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</si>
  <si>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</si>
  <si>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</si>
  <si>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</si>
  <si>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</si>
  <si>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</si>
  <si>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</si>
  <si>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</si>
  <si>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</si>
  <si>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</si>
  <si>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</si>
  <si>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</si>
  <si>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</si>
  <si>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</si>
  <si>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</si>
  <si>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</si>
  <si>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</si>
  <si>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</si>
  <si>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</si>
  <si>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</si>
  <si>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</si>
  <si>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</si>
  <si>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</si>
  <si>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</si>
  <si>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</si>
  <si>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</si>
  <si>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</si>
  <si>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</si>
  <si>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</si>
  <si>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</si>
  <si>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</si>
  <si>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</si>
  <si>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</si>
  <si>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</si>
  <si>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</si>
  <si>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</si>
  <si>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</si>
  <si>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</si>
  <si>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</si>
  <si>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</si>
  <si>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</si>
  <si>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</si>
  <si>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</si>
  <si>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</si>
  <si>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</si>
  <si>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</si>
  <si>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</si>
  <si>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</si>
  <si>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</si>
  <si>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</si>
  <si>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</si>
  <si>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</si>
  <si>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</si>
  <si>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</si>
  <si>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</si>
  <si>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</si>
  <si>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</si>
  <si>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</si>
  <si>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</si>
  <si>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</si>
  <si>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</si>
  <si>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</si>
  <si>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</si>
  <si>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</si>
  <si>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</si>
  <si>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</si>
  <si>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</si>
  <si>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</si>
  <si>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</si>
  <si>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</si>
  <si>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</si>
  <si>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</si>
  <si>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</si>
  <si>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</si>
  <si>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</si>
  <si>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</si>
  <si>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</si>
  <si>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</si>
  <si>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</si>
  <si>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</si>
  <si>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</si>
  <si>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</si>
  <si>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</si>
  <si>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</si>
  <si>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</si>
  <si>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</si>
  <si>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</si>
  <si>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</si>
  <si>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</si>
  <si>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</si>
  <si>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</si>
  <si>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</si>
  <si>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</si>
  <si>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</si>
  <si>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</si>
  <si>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</si>
  <si>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</si>
  <si>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</si>
  <si>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</si>
  <si>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</si>
  <si>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</si>
  <si>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</si>
  <si>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</si>
  <si>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</si>
  <si>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</si>
  <si>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</si>
  <si>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</si>
  <si>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</si>
  <si>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</si>
  <si>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</si>
  <si>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</si>
  <si>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</si>
  <si>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</si>
  <si>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</si>
  <si>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</si>
  <si>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</si>
  <si>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</si>
  <si>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</si>
  <si>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</si>
  <si>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</si>
  <si>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</si>
  <si>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</si>
  <si>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</si>
  <si>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</si>
  <si>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</si>
  <si>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</si>
  <si>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</si>
  <si>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</si>
  <si>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</si>
  <si>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</si>
  <si>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</si>
  <si>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</si>
  <si>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</si>
  <si>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</si>
  <si>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</si>
  <si>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</si>
  <si>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</si>
  <si>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</si>
  <si>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</si>
  <si>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</si>
  <si>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</si>
  <si>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</si>
  <si>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</si>
  <si>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</si>
  <si>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</si>
  <si>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</si>
  <si>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</si>
  <si>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</si>
  <si>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</si>
  <si>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</si>
  <si>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</si>
  <si>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</si>
  <si>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</si>
  <si>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</si>
  <si>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</si>
  <si>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</si>
  <si>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</si>
  <si>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</si>
  <si>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</si>
  <si>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</si>
  <si>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</si>
  <si>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</si>
  <si>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</si>
  <si>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</si>
  <si>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</si>
  <si>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</si>
  <si>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</si>
  <si>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</si>
  <si>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</si>
  <si>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</si>
  <si>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</si>
  <si>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</si>
  <si>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</si>
  <si>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</si>
  <si>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</si>
  <si>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</si>
  <si>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</si>
  <si>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</si>
  <si>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</si>
  <si>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</si>
  <si>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</si>
  <si>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</si>
  <si>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</si>
  <si>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</si>
  <si>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</si>
  <si>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</si>
  <si>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</si>
  <si>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</si>
  <si>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</si>
  <si>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</si>
  <si>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</si>
  <si>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</si>
  <si>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</si>
  <si>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</si>
  <si>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</si>
  <si>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</si>
  <si>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</si>
  <si>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</si>
  <si>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</si>
  <si>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</si>
  <si>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</si>
  <si>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</si>
  <si>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</si>
  <si>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</si>
  <si>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</si>
  <si>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</si>
  <si>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</si>
  <si>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</si>
  <si>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</si>
  <si>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</si>
  <si>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</si>
  <si>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</si>
  <si>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</si>
  <si>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</si>
  <si>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</si>
  <si>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</si>
  <si>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</si>
  <si>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</si>
  <si>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</si>
  <si>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</si>
  <si>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</si>
  <si>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</si>
  <si>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</si>
  <si>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</si>
  <si>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</si>
  <si>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</si>
  <si>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</si>
  <si>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</si>
  <si>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</si>
  <si>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</si>
  <si>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</si>
  <si>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</si>
  <si>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</si>
  <si>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</si>
  <si>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</si>
  <si>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</si>
  <si>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</si>
  <si>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</si>
  <si>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</si>
  <si>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</si>
  <si>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</si>
  <si>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</si>
  <si>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</si>
  <si>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</si>
  <si>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</si>
  <si>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</si>
  <si>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</si>
  <si>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</si>
  <si>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</si>
  <si>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</si>
  <si>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</si>
  <si>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</si>
  <si>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</si>
  <si>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</si>
  <si>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</si>
  <si>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</si>
  <si>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</si>
  <si>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</si>
  <si>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</si>
  <si>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</si>
  <si>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</si>
  <si>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</si>
  <si>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</si>
  <si>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</si>
  <si>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</si>
  <si>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</si>
  <si>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</si>
  <si>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</si>
  <si>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</si>
  <si>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</si>
  <si>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</si>
  <si>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</si>
  <si>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</si>
  <si>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</si>
  <si>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</si>
  <si>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</si>
  <si>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</si>
  <si>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</si>
  <si>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</si>
  <si>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</si>
  <si>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</si>
  <si>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</si>
  <si>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</si>
  <si>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</si>
  <si>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</si>
  <si>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</si>
  <si>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</si>
  <si>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</si>
  <si>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</si>
  <si>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</si>
  <si>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</si>
  <si>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</si>
  <si>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</si>
  <si>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</si>
  <si>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</si>
  <si>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</si>
  <si>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</si>
  <si>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</si>
  <si>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</si>
  <si>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</si>
  <si>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</si>
  <si>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</si>
  <si>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</si>
  <si>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</si>
  <si>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</si>
  <si>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</si>
  <si>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</si>
  <si>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</si>
  <si>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</si>
  <si>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</si>
  <si>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</si>
  <si>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</si>
  <si>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</si>
  <si>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</si>
  <si>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</si>
  <si>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</si>
  <si>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</si>
  <si>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</si>
  <si>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</si>
  <si>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</si>
  <si>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</si>
  <si>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</si>
  <si>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</si>
  <si>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</si>
  <si>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</si>
  <si>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</si>
  <si>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</si>
  <si>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</si>
  <si>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</si>
  <si>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</si>
  <si>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</si>
  <si>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</si>
  <si>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</si>
  <si>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</si>
  <si>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</si>
  <si>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</si>
  <si>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</si>
  <si>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</si>
  <si>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</si>
  <si>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</si>
  <si>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</si>
  <si>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</si>
  <si>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</si>
  <si>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</si>
  <si>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</si>
  <si>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</si>
  <si>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</si>
  <si>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</si>
  <si>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</si>
  <si>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</si>
  <si>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</si>
  <si>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</si>
  <si>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</si>
  <si>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</si>
  <si>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</si>
  <si>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</si>
  <si>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</si>
  <si>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</si>
  <si>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</si>
  <si>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</si>
  <si>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</si>
  <si>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</si>
  <si>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</si>
  <si>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</si>
  <si>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</si>
  <si>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</si>
  <si>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</si>
  <si>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</si>
  <si>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</si>
  <si>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</si>
  <si>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</si>
  <si>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</si>
  <si>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</si>
  <si>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</si>
  <si>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</si>
  <si>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</si>
  <si>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</si>
  <si>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</si>
  <si>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</si>
  <si>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</si>
  <si>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</si>
  <si>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</si>
  <si>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</si>
  <si>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</si>
  <si>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</si>
  <si>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</si>
  <si>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</si>
  <si>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</si>
  <si>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</si>
  <si>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</si>
  <si>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</si>
  <si>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</si>
  <si>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</si>
  <si>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</si>
  <si>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</si>
  <si>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</si>
  <si>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</si>
  <si>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</si>
  <si>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</si>
  <si>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</si>
  <si>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</si>
  <si>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</si>
  <si>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</si>
  <si>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</si>
  <si>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</si>
  <si>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</si>
  <si>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</si>
  <si>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</si>
  <si>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</si>
  <si>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</si>
  <si>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</si>
  <si>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</si>
  <si>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</si>
  <si>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</si>
  <si>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</si>
  <si>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</si>
  <si>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</si>
  <si>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</si>
  <si>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</si>
  <si>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</si>
  <si>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</si>
  <si>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</si>
  <si>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</si>
  <si>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</si>
  <si>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</si>
  <si>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</si>
  <si>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</si>
  <si>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</si>
  <si>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</si>
  <si>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</si>
  <si>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</si>
  <si>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</si>
  <si>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</si>
  <si>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</si>
  <si>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</si>
  <si>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</si>
  <si>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</si>
  <si>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</si>
  <si>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</si>
  <si>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</si>
  <si>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</si>
  <si>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</si>
  <si>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</si>
  <si>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</si>
  <si>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</si>
  <si>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</si>
  <si>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</si>
  <si>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</si>
  <si>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</si>
  <si>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</si>
  <si>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</si>
  <si>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</si>
  <si>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</si>
  <si>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</si>
  <si>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</si>
  <si>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</si>
  <si>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</si>
  <si>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</si>
  <si>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</si>
  <si>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</si>
  <si>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</si>
  <si>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</si>
  <si>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</si>
  <si>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</si>
  <si>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</si>
  <si>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</si>
  <si>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</si>
  <si>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</si>
  <si>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</si>
  <si>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</si>
  <si>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</si>
  <si>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</si>
  <si>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</si>
  <si>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</si>
  <si>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</si>
  <si>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</si>
  <si>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</si>
  <si>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</si>
  <si>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</si>
  <si>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</si>
  <si>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</si>
  <si>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</si>
  <si>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</si>
  <si>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</si>
  <si>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</si>
  <si>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</si>
  <si>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</si>
  <si>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</si>
  <si>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</si>
  <si>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</si>
  <si>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</si>
  <si>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</si>
  <si>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</si>
  <si>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</si>
  <si>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</si>
  <si>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</si>
  <si>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</si>
  <si>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</si>
  <si>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</si>
  <si>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</si>
  <si>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</si>
  <si>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</si>
  <si>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</si>
  <si>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</si>
  <si>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</si>
  <si>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</si>
  <si>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</si>
  <si>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</si>
  <si>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</si>
  <si>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</si>
  <si>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</si>
  <si>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</si>
  <si>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</si>
  <si>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</si>
  <si>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</si>
  <si>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</si>
  <si>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</si>
  <si>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</si>
  <si>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ＭＳ Ｐゴシック"/>
        <family val="2"/>
        <scheme val="minor"/>
      </rPr>
      <t>A</t>
    </r>
    <r>
      <rPr>
        <sz val="11"/>
        <rFont val="SimSun"/>
        <family val="2"/>
      </rPr>
      <t xml:space="preserve"> 列输入号码（</t>
    </r>
    <r>
      <rPr>
        <sz val="11"/>
        <rFont val="ＭＳ Ｐゴシック"/>
        <family val="2"/>
        <scheme val="minor"/>
      </rPr>
      <t>B、C、E、F、G、I</t>
    </r>
    <r>
      <rPr>
        <sz val="11"/>
        <rFont val="SimSun"/>
        <family val="2"/>
      </rPr>
      <t xml:space="preserve"> 和 </t>
    </r>
    <r>
      <rPr>
        <sz val="11"/>
        <rFont val="ＭＳ Ｐゴシック"/>
        <family val="2"/>
        <scheme val="minor"/>
      </rPr>
      <t>J</t>
    </r>
    <r>
      <rPr>
        <sz val="11"/>
        <rFont val="SimSun"/>
        <family val="2"/>
      </rPr>
      <t xml:space="preserve"> 列将自动填入）。</t>
    </r>
    <r>
      <rPr>
        <sz val="11"/>
        <rFont val="ＭＳ Ｐゴシック"/>
        <family val="2"/>
        <scheme val="minor"/>
      </rPr>
      <t>D</t>
    </r>
    <r>
      <rPr>
        <sz val="11"/>
        <rFont val="SimSun"/>
        <family val="2"/>
      </rPr>
      <t xml:space="preserve"> 列将变为灰色。
选项 </t>
    </r>
    <r>
      <rPr>
        <sz val="11"/>
        <rFont val="ＭＳ Ｐゴシック"/>
        <family val="2"/>
        <scheme val="minor"/>
      </rPr>
      <t>B</t>
    </r>
    <r>
      <rPr>
        <sz val="11"/>
        <rFont val="SimSun"/>
        <family val="2"/>
      </rPr>
      <t xml:space="preserve">：如果您有金属和冶炼厂查找名称组合，则完成以下步骤：
步骤 </t>
    </r>
    <r>
      <rPr>
        <sz val="11"/>
        <rFont val="ＭＳ Ｐゴシック"/>
        <family val="2"/>
        <scheme val="minor"/>
      </rPr>
      <t>1</t>
    </r>
    <r>
      <rPr>
        <sz val="11"/>
        <rFont val="SimSun"/>
        <family val="2"/>
      </rPr>
      <t xml:space="preserve">. 在 </t>
    </r>
    <r>
      <rPr>
        <sz val="11"/>
        <rFont val="ＭＳ Ｐゴシック"/>
        <family val="2"/>
        <scheme val="minor"/>
      </rPr>
      <t>B</t>
    </r>
    <r>
      <rPr>
        <sz val="11"/>
        <rFont val="SimSun"/>
        <family val="2"/>
      </rPr>
      <t xml:space="preserve"> 列中选择金属
步骤 </t>
    </r>
    <r>
      <rPr>
        <sz val="11"/>
        <rFont val="ＭＳ Ｐゴシック"/>
        <family val="2"/>
        <scheme val="minor"/>
      </rPr>
      <t>2</t>
    </r>
    <r>
      <rPr>
        <sz val="11"/>
        <rFont val="SimSun"/>
        <family val="2"/>
      </rPr>
      <t xml:space="preserve">. 从 </t>
    </r>
    <r>
      <rPr>
        <sz val="11"/>
        <rFont val="ＭＳ Ｐゴシック"/>
        <family val="2"/>
        <scheme val="minor"/>
      </rPr>
      <t>C</t>
    </r>
    <r>
      <rPr>
        <sz val="11"/>
        <rFont val="SimSun"/>
        <family val="2"/>
      </rPr>
      <t xml:space="preserve"> 列的下拉菜单中选择
选项 </t>
    </r>
    <r>
      <rPr>
        <sz val="11"/>
        <rFont val="ＭＳ Ｐゴシック"/>
        <family val="2"/>
        <scheme val="minor"/>
      </rPr>
      <t>C</t>
    </r>
    <r>
      <rPr>
        <sz val="11"/>
        <rFont val="SimSun"/>
        <family val="2"/>
      </rPr>
      <t xml:space="preserve">：如果您有金属和冶炼厂名称组合，则完成以下步骤：
步骤 </t>
    </r>
    <r>
      <rPr>
        <sz val="11"/>
        <rFont val="ＭＳ Ｐゴシック"/>
        <family val="2"/>
        <scheme val="minor"/>
      </rPr>
      <t>1.</t>
    </r>
    <r>
      <rPr>
        <sz val="11"/>
        <rFont val="SimSun"/>
        <family val="2"/>
      </rPr>
      <t xml:space="preserve"> 在 </t>
    </r>
    <r>
      <rPr>
        <sz val="11"/>
        <rFont val="ＭＳ Ｐゴシック"/>
        <family val="2"/>
        <scheme val="minor"/>
      </rPr>
      <t>B</t>
    </r>
    <r>
      <rPr>
        <sz val="11"/>
        <rFont val="SimSun"/>
        <family val="2"/>
      </rPr>
      <t xml:space="preserve"> 列中选择金属
步骤 </t>
    </r>
    <r>
      <rPr>
        <sz val="11"/>
        <rFont val="ＭＳ Ｐゴシック"/>
        <family val="2"/>
        <scheme val="minor"/>
      </rPr>
      <t>2</t>
    </r>
    <r>
      <rPr>
        <sz val="11"/>
        <rFont val="SimSun"/>
        <family val="2"/>
      </rPr>
      <t xml:space="preserve">：在“冶炼厂查找”下拉菜单中选择“冶炼厂未列出”，然后填写 </t>
    </r>
    <r>
      <rPr>
        <sz val="11"/>
        <rFont val="ＭＳ Ｐゴシック"/>
        <family val="2"/>
        <scheme val="minor"/>
      </rPr>
      <t>D</t>
    </r>
    <r>
      <rPr>
        <sz val="11"/>
        <rFont val="SimSun"/>
        <family val="2"/>
      </rPr>
      <t xml:space="preserve"> 和 </t>
    </r>
    <r>
      <rPr>
        <sz val="11"/>
        <rFont val="ＭＳ Ｐゴシック"/>
        <family val="2"/>
        <scheme val="minor"/>
      </rPr>
      <t>E</t>
    </r>
    <r>
      <rPr>
        <sz val="11"/>
        <rFont val="SimSun"/>
        <family val="2"/>
      </rPr>
      <t xml:space="preserve"> 列
步骤 </t>
    </r>
    <r>
      <rPr>
        <sz val="11"/>
        <rFont val="ＭＳ Ｐゴシック"/>
        <family val="2"/>
        <scheme val="minor"/>
      </rPr>
      <t>3</t>
    </r>
    <r>
      <rPr>
        <sz val="11"/>
        <rFont val="SimSun"/>
        <family val="2"/>
      </rPr>
      <t xml:space="preserve">. 在 </t>
    </r>
    <r>
      <rPr>
        <sz val="11"/>
        <rFont val="ＭＳ Ｐゴシック"/>
        <family val="2"/>
        <scheme val="minor"/>
      </rPr>
      <t>H</t>
    </r>
    <r>
      <rPr>
        <sz val="11"/>
        <rFont val="SimSun"/>
        <family val="2"/>
      </rPr>
      <t xml:space="preserve"> 列到 </t>
    </r>
    <r>
      <rPr>
        <sz val="11"/>
        <rFont val="ＭＳ Ｐゴシック"/>
        <family val="2"/>
        <scheme val="minor"/>
      </rPr>
      <t>Q</t>
    </r>
    <r>
      <rPr>
        <sz val="11"/>
        <rFont val="SimSun"/>
        <family val="2"/>
      </rPr>
      <t xml:space="preserve"> 列输入所有现有的冶炼厂信息
(</t>
    </r>
    <r>
      <rPr>
        <sz val="11"/>
        <rFont val="ＭＳ Ｐゴシック"/>
        <family val="2"/>
        <scheme val="minor"/>
      </rPr>
      <t>*</t>
    </r>
    <r>
      <rPr>
        <sz val="11"/>
        <rFont val="SimSun"/>
        <family val="2"/>
      </rPr>
      <t>) 必填字段以星号表示。
(</t>
    </r>
    <r>
      <rPr>
        <sz val="11"/>
        <rFont val="ＭＳ Ｐゴシック"/>
        <family val="2"/>
        <scheme val="minor"/>
      </rPr>
      <t>1</t>
    </r>
    <r>
      <rPr>
        <sz val="11"/>
        <rFont val="SimSun"/>
        <family val="2"/>
      </rPr>
      <t xml:space="preserve">) 当“冶炼厂查找”=“冶炼厂未列出”时，需要输入
注：可结合使用选项 </t>
    </r>
    <r>
      <rPr>
        <sz val="11"/>
        <rFont val="ＭＳ Ｐゴシック"/>
        <family val="2"/>
        <scheme val="minor"/>
      </rPr>
      <t>A、B</t>
    </r>
    <r>
      <rPr>
        <sz val="11"/>
        <rFont val="SimSun"/>
        <family val="2"/>
      </rPr>
      <t xml:space="preserve"> 和 </t>
    </r>
    <r>
      <rPr>
        <sz val="11"/>
        <rFont val="ＭＳ Ｐゴシック"/>
        <family val="2"/>
        <scheme val="minor"/>
      </rPr>
      <t xml:space="preserve">C </t>
    </r>
    <r>
      <rPr>
        <sz val="11"/>
        <rFont val="SimSun"/>
        <family val="2"/>
      </rPr>
      <t xml:space="preserve">来填写冶炼厂目录。请勿更改自动填写的单元格。应通过联系 </t>
    </r>
    <r>
      <rPr>
        <sz val="11"/>
        <rFont val="ＭＳ Ｐゴシック"/>
        <family val="2"/>
        <scheme val="minor"/>
      </rPr>
      <t>RMI@ResponsibleBusiness.org</t>
    </r>
    <r>
      <rPr>
        <sz val="11"/>
        <rFont val="SimSun"/>
        <family val="2"/>
      </rPr>
      <t xml:space="preserve">，向 </t>
    </r>
    <r>
      <rPr>
        <sz val="11"/>
        <rFont val="ＭＳ Ｐゴシック"/>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</si>
  <si>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</si>
  <si>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</si>
  <si>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</si>
  <si>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</si>
  <si>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</si>
  <si>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</si>
  <si>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</si>
  <si>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</si>
  <si>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</si>
  <si>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</si>
  <si>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</si>
  <si>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</si>
  <si>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</si>
  <si>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</si>
  <si>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</si>
  <si>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</si>
  <si>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</si>
  <si>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</si>
  <si>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</si>
  <si>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</si>
  <si>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</si>
  <si>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</si>
  <si>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</si>
  <si>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</si>
  <si>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</si>
  <si>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</si>
  <si>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</si>
  <si>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</si>
  <si>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</si>
  <si>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</si>
  <si>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</si>
  <si>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</si>
  <si>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</si>
  <si>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</si>
  <si>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</si>
  <si>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</si>
  <si>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</si>
  <si>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</si>
  <si>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</si>
  <si>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</si>
  <si>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</si>
  <si>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</si>
  <si>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</si>
  <si>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</si>
  <si>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</si>
  <si>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</si>
  <si>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</si>
  <si>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</si>
  <si>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</si>
  <si>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</si>
  <si>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</si>
  <si>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</si>
  <si>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</si>
  <si>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</si>
  <si>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</si>
  <si>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</si>
  <si>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</si>
  <si>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</si>
  <si>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</si>
  <si>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</si>
  <si>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</si>
  <si>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</si>
  <si>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</si>
  <si>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</si>
  <si>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</si>
  <si>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</si>
  <si>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</si>
  <si>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</si>
  <si>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</si>
  <si>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</si>
  <si>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</si>
  <si>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</si>
  <si>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</si>
  <si>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</si>
  <si>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</si>
  <si>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</si>
  <si>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</si>
  <si>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</si>
  <si>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</si>
  <si>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</si>
  <si>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</si>
  <si>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</si>
  <si>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</si>
  <si>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</si>
  <si>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</si>
  <si>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</si>
  <si>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</si>
  <si>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</si>
  <si>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</si>
  <si>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</si>
  <si>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</si>
  <si>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</si>
  <si>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</si>
  <si>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</si>
  <si>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</si>
  <si>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</si>
  <si>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</si>
  <si>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</si>
  <si>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</si>
  <si>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</si>
  <si>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</si>
  <si>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</si>
  <si>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</si>
  <si>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</si>
  <si>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</si>
  <si>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</si>
  <si>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</si>
  <si>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</si>
  <si>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</si>
  <si>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</si>
  <si>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</si>
  <si>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</si>
  <si>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</si>
  <si>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</si>
  <si>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</si>
  <si>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</si>
  <si>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</si>
  <si>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</si>
  <si>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</si>
  <si>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</si>
  <si>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</si>
  <si>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</si>
  <si>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</si>
  <si>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</si>
  <si>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</si>
  <si>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</si>
  <si>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</si>
  <si>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</si>
  <si>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</si>
  <si>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</si>
  <si>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</si>
  <si>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</si>
  <si>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</si>
  <si>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</si>
  <si>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</si>
  <si>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</si>
  <si>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</si>
  <si>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</si>
  <si>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</si>
  <si>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</si>
  <si>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</si>
  <si>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</si>
  <si>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</si>
  <si>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</si>
  <si>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</si>
  <si>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</si>
  <si>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</si>
  <si>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</si>
  <si>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</si>
  <si>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</si>
  <si>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</si>
  <si>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</si>
  <si>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</si>
  <si>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</si>
  <si>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</si>
  <si>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</si>
  <si>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</si>
  <si>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</si>
  <si>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</si>
  <si>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</si>
  <si>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</si>
  <si>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</si>
  <si>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</si>
  <si>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</si>
  <si>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</si>
  <si>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</si>
  <si>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</si>
  <si>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</si>
  <si>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</si>
  <si>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</si>
  <si>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</si>
  <si>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</si>
  <si>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</si>
  <si>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</si>
  <si>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</si>
  <si>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</si>
  <si>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</si>
  <si>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</si>
  <si>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</si>
  <si>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</si>
  <si>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</si>
  <si>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</si>
  <si>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</si>
  <si>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</si>
  <si>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</si>
  <si>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</si>
  <si>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</si>
  <si>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</si>
  <si>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</si>
  <si>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</si>
  <si>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</si>
  <si>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</si>
  <si>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</si>
  <si>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</si>
  <si>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</si>
  <si>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</si>
  <si>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</si>
  <si>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</si>
  <si>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</si>
  <si>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</si>
  <si>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</si>
  <si>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</si>
  <si>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</si>
  <si>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</si>
  <si>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</si>
  <si>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</si>
  <si>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</si>
  <si>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</si>
  <si>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</si>
  <si>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</si>
  <si>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</si>
  <si>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</si>
  <si>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</si>
  <si>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</si>
  <si>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</si>
  <si>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</si>
  <si>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</si>
  <si>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</si>
  <si>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</si>
  <si>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</si>
  <si>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</si>
  <si>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</si>
  <si>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</si>
  <si>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</si>
  <si>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</si>
  <si>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</si>
  <si>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</si>
  <si>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</si>
  <si>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</si>
  <si>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</si>
  <si>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</si>
  <si>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</si>
  <si>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</si>
  <si>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</si>
  <si>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</si>
  <si>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</si>
  <si>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</si>
  <si>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</si>
  <si>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</si>
  <si>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</si>
  <si>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</si>
  <si>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</si>
  <si>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</si>
  <si>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</si>
  <si>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</si>
  <si>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</si>
  <si>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</si>
  <si>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</si>
  <si>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</si>
  <si>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</si>
  <si>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</si>
  <si>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</si>
  <si>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</si>
  <si>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</si>
  <si>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</si>
  <si>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</si>
  <si>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</si>
  <si>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</si>
  <si>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</si>
  <si>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</si>
  <si>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</si>
  <si>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</si>
  <si>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</si>
  <si>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</si>
  <si>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</si>
  <si>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</si>
  <si>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</si>
  <si>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</si>
  <si>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</si>
  <si>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</si>
  <si>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</si>
  <si>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</si>
  <si>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</si>
  <si>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</si>
  <si>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</si>
  <si>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</si>
  <si>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</si>
  <si>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</si>
  <si>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</si>
  <si>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</si>
  <si>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</si>
  <si>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</si>
  <si>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</si>
  <si>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</si>
  <si>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</si>
  <si>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</si>
  <si>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</si>
  <si>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</si>
  <si>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</si>
  <si>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</si>
  <si>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</si>
  <si>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</si>
  <si>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</si>
  <si>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</si>
  <si>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</si>
  <si>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</si>
  <si>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</si>
  <si>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</si>
  <si>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</si>
  <si>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</si>
  <si>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</si>
  <si>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</si>
  <si>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</si>
  <si>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</si>
  <si>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</si>
  <si>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</si>
  <si>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</si>
  <si>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</si>
  <si>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</si>
  <si>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</si>
  <si>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</si>
  <si>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</si>
  <si>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</si>
  <si>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</si>
  <si>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</si>
  <si>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</si>
  <si>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</si>
  <si>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</si>
  <si>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</si>
  <si>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</si>
  <si>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</si>
  <si>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</si>
  <si>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</si>
  <si>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</si>
  <si>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</si>
  <si>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</si>
  <si>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</si>
  <si>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</si>
  <si>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</si>
  <si>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</si>
  <si>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</si>
  <si>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</si>
  <si>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</si>
  <si>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</si>
  <si>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</si>
  <si>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</si>
  <si>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</si>
  <si>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</si>
  <si>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</si>
  <si>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</si>
  <si>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</si>
  <si>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</si>
  <si>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</si>
  <si>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</si>
  <si>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</si>
  <si>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</si>
  <si>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</si>
  <si>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</si>
  <si>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</si>
  <si>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</si>
  <si>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</si>
  <si>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</si>
  <si>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</si>
  <si>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</si>
  <si>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</si>
  <si>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</si>
  <si>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</si>
  <si>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</si>
  <si>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</si>
  <si>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</si>
  <si>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</si>
  <si>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</si>
  <si>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</si>
  <si>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</si>
  <si>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</si>
  <si>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</si>
  <si>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</si>
  <si>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</si>
  <si>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</si>
  <si>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</si>
  <si>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</si>
  <si>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</si>
  <si>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</si>
  <si>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</si>
  <si>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</si>
  <si>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</si>
  <si>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</si>
  <si>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</si>
  <si>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</si>
  <si>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</si>
  <si>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</si>
  <si>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</si>
  <si>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</si>
  <si>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</si>
  <si>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</si>
  <si>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</si>
  <si>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</si>
  <si>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</si>
  <si>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</si>
  <si>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</si>
  <si>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</si>
  <si>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</si>
  <si>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</si>
  <si>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</si>
  <si>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</si>
  <si>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</si>
  <si>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</si>
  <si>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</si>
  <si>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</si>
  <si>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</si>
  <si>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</si>
  <si>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</si>
  <si>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</si>
  <si>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</si>
  <si>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</si>
  <si>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</si>
  <si>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</si>
  <si>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</si>
  <si>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</si>
  <si>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</si>
  <si>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</si>
  <si>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</si>
  <si>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</si>
  <si>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</si>
  <si>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</si>
  <si>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</si>
  <si>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</si>
  <si>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</si>
  <si>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</si>
  <si>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</si>
  <si>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</si>
  <si>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</si>
  <si>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</si>
  <si>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</si>
  <si>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</si>
  <si>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</si>
  <si>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</si>
  <si>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</si>
  <si>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</si>
  <si>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</si>
  <si>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</si>
  <si>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</si>
  <si>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</si>
  <si>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</si>
  <si>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</si>
  <si>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</si>
  <si>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</si>
  <si>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</si>
  <si>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</si>
  <si>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</si>
  <si>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</si>
  <si>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</si>
  <si>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</si>
  <si>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</si>
  <si>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</si>
  <si>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</si>
  <si>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</si>
  <si>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</si>
  <si>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</si>
  <si>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</si>
  <si>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</si>
  <si>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</si>
  <si>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</si>
  <si>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</si>
  <si>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</si>
  <si>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</si>
  <si>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</si>
  <si>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</si>
  <si>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</si>
  <si>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</si>
  <si>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</si>
  <si>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</si>
  <si>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</si>
  <si>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</si>
  <si>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</si>
  <si>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</si>
  <si>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</si>
  <si>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</si>
  <si>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</si>
  <si>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</si>
  <si>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</si>
  <si>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</si>
  <si>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</si>
  <si>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</si>
  <si>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</si>
  <si>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</si>
  <si>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</si>
  <si>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</si>
  <si>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</si>
  <si>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</si>
  <si>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</si>
  <si>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</si>
  <si>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</si>
  <si>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</si>
  <si>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</si>
  <si>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</si>
  <si>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</si>
  <si>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</si>
  <si>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</si>
  <si>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</si>
  <si>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</si>
  <si>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</si>
  <si>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</si>
  <si>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</si>
  <si>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</si>
  <si>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</si>
  <si>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</si>
  <si>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</si>
  <si>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</si>
  <si>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</si>
  <si>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</si>
  <si>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</si>
  <si>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</si>
  <si>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</si>
  <si>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</si>
  <si>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</si>
  <si>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</si>
  <si>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</si>
  <si>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</si>
  <si>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</si>
  <si>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</si>
  <si>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</si>
  <si>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</si>
  <si>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</si>
  <si>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</si>
  <si>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</si>
  <si>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</si>
  <si>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</si>
  <si>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</si>
  <si>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</si>
  <si>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</si>
  <si>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</si>
  <si>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</si>
  <si>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</si>
  <si>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</si>
  <si>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</si>
  <si>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</si>
  <si>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</si>
  <si>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</si>
  <si>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</si>
  <si>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</si>
  <si>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</si>
  <si>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</si>
  <si>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</si>
  <si>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</si>
  <si>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</si>
  <si>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</si>
  <si>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</si>
  <si>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</si>
  <si>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</si>
  <si>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</si>
  <si>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</si>
  <si>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</si>
  <si>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</si>
  <si>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</si>
  <si>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</si>
  <si>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</si>
  <si>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</si>
  <si>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</si>
  <si>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</si>
  <si>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</si>
  <si>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</si>
  <si>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</si>
  <si>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</si>
  <si>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</si>
  <si>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</si>
  <si>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</si>
  <si>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</si>
  <si>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</si>
  <si>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</si>
  <si>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</si>
  <si>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</si>
  <si>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</si>
  <si>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</si>
  <si>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</si>
  <si>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</si>
  <si>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</si>
  <si>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</si>
  <si>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</si>
  <si>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</si>
  <si>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</si>
  <si>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</si>
  <si>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</si>
  <si>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</si>
  <si>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</si>
  <si>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</si>
  <si>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</si>
  <si>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</si>
  <si>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</si>
  <si>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</si>
  <si>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</si>
  <si>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</si>
  <si>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</si>
  <si>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</si>
  <si>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</si>
  <si>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</si>
  <si>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</si>
  <si>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</si>
  <si>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</si>
  <si>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</si>
  <si>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</si>
  <si>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</si>
  <si>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</si>
  <si>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</si>
  <si>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</si>
  <si>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</si>
  <si>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</si>
  <si>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</si>
  <si>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</si>
  <si>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</si>
  <si>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</si>
  <si>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</si>
  <si>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</si>
  <si>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</si>
  <si>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</si>
  <si>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</si>
  <si>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</si>
  <si>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</si>
  <si>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</si>
  <si>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</si>
  <si>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</si>
  <si>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</si>
  <si>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</si>
  <si>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</si>
  <si>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</si>
  <si>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</si>
  <si>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</si>
  <si>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</si>
  <si>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</si>
  <si>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</si>
  <si>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</si>
  <si>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</si>
  <si>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</si>
  <si>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</si>
  <si>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</si>
  <si>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</si>
  <si>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</si>
  <si>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</si>
  <si>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</si>
  <si>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</si>
  <si>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</si>
  <si>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</si>
  <si>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</si>
  <si>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</si>
  <si>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</si>
  <si>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</si>
  <si>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</si>
  <si>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</si>
  <si>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</si>
  <si>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</si>
  <si>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</si>
  <si>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</si>
  <si>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</si>
  <si>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</si>
  <si>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</si>
  <si>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</si>
  <si>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</si>
  <si>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</si>
  <si>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</si>
  <si>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</si>
  <si>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</si>
  <si>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</si>
  <si>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</si>
  <si>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</si>
  <si>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</si>
  <si>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</si>
  <si>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</si>
  <si>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</si>
  <si>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</si>
  <si>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</si>
  <si>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</si>
  <si>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</si>
  <si>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</si>
  <si>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</si>
  <si>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</si>
  <si>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</si>
  <si>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</si>
  <si>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</si>
  <si>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</si>
  <si>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</si>
  <si>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</si>
  <si>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</si>
  <si>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</si>
  <si>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</si>
  <si>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</si>
  <si>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</si>
  <si>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</si>
  <si>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</si>
  <si>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</si>
  <si>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</si>
  <si>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</si>
  <si>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</si>
  <si>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</si>
  <si>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</si>
  <si>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</si>
  <si>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</si>
  <si>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</si>
  <si>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</si>
  <si>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</si>
  <si>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</si>
  <si>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</si>
  <si>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</si>
  <si>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</si>
  <si>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</si>
  <si>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</si>
  <si>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</si>
  <si>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</si>
  <si>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</si>
  <si>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</si>
  <si>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</si>
  <si>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</si>
  <si>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</si>
  <si>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</si>
  <si>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</si>
  <si>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</si>
  <si>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</si>
  <si>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</si>
  <si>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</si>
  <si>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</si>
  <si>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</si>
  <si>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</si>
  <si>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</si>
  <si>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</si>
  <si>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</si>
  <si>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</si>
  <si>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</si>
  <si>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</si>
  <si>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</si>
  <si>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</si>
  <si>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</si>
  <si>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</si>
  <si>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</si>
  <si>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</si>
  <si>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</si>
  <si>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</si>
  <si>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</si>
  <si>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</si>
  <si>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</si>
  <si>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</si>
  <si>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</si>
  <si>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</si>
  <si>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</si>
  <si>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</si>
  <si>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</si>
  <si>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</si>
  <si>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</si>
  <si>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</si>
  <si>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</si>
  <si>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</si>
  <si>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</si>
  <si>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</si>
  <si>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</si>
  <si>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</si>
  <si>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</si>
  <si>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</si>
  <si>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</si>
  <si>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</si>
  <si>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</si>
  <si>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</si>
  <si>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</si>
  <si>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</si>
  <si>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</si>
  <si>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</si>
  <si>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</si>
  <si>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</si>
  <si>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</si>
  <si>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</si>
  <si>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</si>
  <si>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</si>
  <si>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</si>
  <si>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</si>
  <si>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</si>
  <si>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</si>
  <si>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</si>
  <si>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</si>
  <si>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</si>
  <si>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</si>
  <si>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</si>
  <si>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</si>
  <si>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</si>
  <si>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</si>
  <si>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</si>
  <si>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</si>
  <si>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</si>
  <si>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</si>
  <si>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</si>
  <si>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</si>
  <si>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</si>
  <si>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</si>
  <si>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</si>
  <si>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</si>
  <si>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</si>
  <si>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</si>
  <si>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</si>
  <si>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</si>
  <si>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</si>
  <si>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</si>
  <si>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</si>
  <si>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</si>
  <si>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</si>
  <si>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</si>
  <si>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</si>
  <si>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</si>
  <si>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</si>
  <si>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</si>
  <si>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</si>
  <si>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</si>
  <si>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</si>
  <si>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</si>
  <si>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</si>
  <si>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</si>
  <si>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</si>
  <si>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</si>
  <si>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</si>
  <si>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</si>
  <si>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</si>
  <si>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</si>
  <si>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</si>
  <si>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</si>
  <si>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</si>
  <si>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</si>
  <si>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</si>
  <si>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</si>
  <si>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</si>
  <si>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</si>
  <si>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</si>
  <si>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</si>
  <si>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</si>
  <si>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</si>
  <si>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</si>
  <si>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</si>
  <si>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</si>
  <si>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</si>
  <si>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</si>
  <si>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</si>
  <si>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</si>
  <si>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</si>
  <si>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</si>
  <si>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</si>
  <si>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</si>
  <si>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</si>
  <si>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</si>
  <si>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</si>
  <si>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</si>
  <si>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</si>
  <si>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</si>
  <si>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</si>
  <si>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</si>
  <si>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</si>
  <si>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</si>
  <si>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</si>
  <si>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</si>
  <si>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</si>
  <si>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</si>
  <si>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</si>
  <si>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</si>
  <si>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</si>
  <si>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</si>
  <si>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</si>
  <si>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</si>
  <si>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</si>
  <si>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</si>
  <si>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</si>
  <si>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</si>
  <si>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</si>
  <si>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</si>
  <si>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</si>
  <si>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</si>
  <si>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</si>
  <si>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</si>
  <si>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</si>
  <si>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</si>
  <si>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</si>
  <si>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</si>
  <si>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</si>
  <si>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</si>
  <si>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</si>
  <si>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</si>
  <si>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</si>
  <si>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</si>
  <si>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</si>
  <si>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</si>
  <si>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</si>
  <si>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</si>
  <si>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</si>
  <si>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</si>
  <si>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</si>
  <si>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</si>
  <si>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</si>
  <si>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</si>
  <si>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</si>
  <si>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</si>
  <si>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</si>
  <si>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</si>
  <si>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</si>
  <si>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</si>
  <si>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</si>
  <si>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</si>
  <si>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</si>
  <si>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</si>
  <si>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</si>
  <si>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</si>
  <si>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</si>
  <si>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</si>
  <si>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</si>
  <si>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</si>
  <si>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</si>
  <si>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</si>
  <si>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</si>
  <si>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</si>
  <si>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</si>
  <si>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</si>
  <si>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</si>
  <si>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</si>
  <si>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</si>
  <si>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</si>
  <si>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</si>
  <si>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</si>
  <si>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</si>
  <si>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</si>
  <si>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</si>
  <si>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</si>
  <si>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</si>
  <si>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</si>
  <si>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</si>
  <si>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</si>
  <si>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</si>
  <si>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</si>
  <si>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</si>
  <si>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</si>
  <si>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</si>
  <si>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</si>
  <si>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</si>
  <si>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</si>
  <si>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</si>
  <si>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</si>
  <si>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</si>
  <si>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</si>
  <si>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</si>
  <si>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</si>
  <si>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</si>
  <si>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</si>
  <si>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</si>
  <si>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</si>
  <si>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</si>
  <si>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</si>
  <si>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</si>
  <si>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</si>
  <si>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</si>
  <si>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</si>
  <si>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</si>
  <si>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</si>
  <si>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</si>
  <si>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</si>
  <si>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</si>
  <si>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</si>
  <si>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</si>
  <si>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</si>
  <si>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</si>
  <si>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</si>
  <si>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</si>
  <si>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</si>
  <si>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</si>
  <si>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</si>
  <si>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</si>
  <si>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</si>
  <si>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</si>
  <si>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</si>
  <si>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</si>
  <si>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</si>
  <si>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</si>
  <si>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</si>
  <si>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</si>
  <si>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</si>
  <si>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</si>
  <si>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</si>
  <si>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</si>
  <si>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</si>
  <si>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</si>
  <si>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</si>
  <si>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</si>
  <si>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</si>
  <si>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</si>
  <si>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</si>
  <si>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</si>
  <si>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</si>
  <si>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</si>
  <si>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</si>
  <si>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</si>
  <si>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</si>
  <si>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</si>
  <si>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</si>
  <si>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</si>
  <si>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</si>
  <si>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</si>
  <si>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</si>
  <si>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</si>
  <si>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</si>
  <si>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</si>
  <si>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</si>
  <si>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</si>
  <si>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</si>
  <si>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</si>
  <si>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</si>
  <si>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</si>
  <si>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</si>
  <si>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</si>
  <si>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</si>
  <si>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</si>
  <si>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</si>
  <si>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</si>
  <si>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</si>
  <si>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</si>
  <si>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</si>
  <si>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</si>
  <si>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</si>
  <si>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</si>
  <si>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</si>
  <si>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</si>
  <si>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</si>
  <si>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</si>
  <si>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</si>
  <si>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</si>
  <si>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</si>
  <si>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</si>
  <si>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</si>
  <si>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</si>
  <si>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</si>
  <si>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</si>
  <si>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</si>
  <si>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</si>
  <si>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</si>
  <si>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</si>
  <si>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</si>
  <si>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</si>
  <si>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</si>
  <si>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</si>
  <si>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</si>
  <si>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</si>
  <si>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</si>
  <si>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</si>
  <si>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</si>
  <si>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</si>
  <si>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</si>
  <si>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</si>
  <si>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</si>
  <si>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</si>
  <si>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</si>
  <si>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</si>
  <si>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</si>
  <si>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</si>
  <si>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</si>
  <si>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</si>
  <si>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</si>
  <si>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</si>
  <si>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</si>
  <si>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</si>
  <si>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</si>
  <si>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</si>
  <si>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</si>
  <si>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</si>
  <si>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</si>
  <si>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</si>
  <si>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</si>
  <si>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</si>
  <si>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</si>
  <si>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</si>
  <si>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</si>
  <si>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</si>
  <si>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</si>
  <si>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</si>
  <si>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</si>
  <si>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</si>
  <si>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</si>
  <si>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</si>
  <si>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</si>
  <si>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</si>
  <si>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</si>
  <si>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</si>
  <si>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</si>
  <si>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</si>
  <si>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</si>
  <si>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</si>
  <si>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</si>
  <si>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</si>
  <si>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</si>
  <si>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</si>
  <si>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</si>
  <si>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</si>
  <si>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</si>
  <si>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</si>
  <si>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</si>
  <si>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</si>
  <si>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</si>
  <si>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</si>
  <si>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</si>
  <si>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</si>
  <si>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</si>
  <si>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</si>
  <si>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</si>
  <si>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</si>
  <si>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</si>
  <si>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</si>
  <si>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</si>
  <si>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</si>
  <si>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</si>
  <si>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</si>
  <si>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</si>
  <si>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</si>
  <si>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</si>
  <si>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</si>
  <si>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</si>
  <si>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</si>
  <si>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</si>
  <si>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</si>
  <si>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</si>
  <si>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</si>
  <si>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</si>
  <si>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</si>
  <si>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</si>
  <si>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</si>
  <si>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</si>
  <si>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</si>
  <si>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</si>
  <si>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</si>
  <si>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</si>
  <si>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</si>
  <si>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</si>
  <si>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</si>
  <si>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</si>
  <si>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</si>
  <si>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</si>
  <si>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</si>
  <si>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</si>
  <si>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</si>
  <si>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</si>
  <si>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</si>
  <si>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</si>
  <si>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</si>
  <si>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</si>
  <si>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</si>
  <si>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</si>
  <si>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</si>
  <si>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</si>
  <si>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</si>
  <si>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</si>
  <si>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</si>
  <si>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</si>
  <si>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</si>
  <si>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</si>
  <si>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</si>
  <si>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</si>
  <si>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</si>
  <si>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</si>
  <si>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</si>
  <si>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</si>
  <si>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</si>
  <si>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</si>
  <si>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</si>
  <si>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</si>
  <si>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</si>
  <si>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</si>
  <si>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</si>
  <si>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</si>
  <si>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</si>
  <si>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</si>
  <si>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</si>
  <si>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</si>
  <si>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</si>
  <si>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</si>
  <si>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</si>
  <si>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</si>
  <si>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</si>
  <si>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</si>
  <si>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</si>
  <si>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</si>
  <si>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</si>
  <si>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</si>
  <si>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</si>
  <si>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</si>
  <si>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</si>
  <si>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</si>
  <si>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</si>
  <si>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</si>
  <si>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</si>
  <si>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</si>
  <si>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</si>
  <si>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</si>
  <si>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</si>
  <si>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</si>
  <si>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</si>
  <si>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</si>
  <si>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</si>
  <si>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</si>
  <si>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</si>
  <si>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</si>
  <si>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</si>
  <si>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</si>
  <si>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</si>
  <si>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</si>
  <si>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</si>
  <si>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</si>
  <si>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</si>
  <si>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</si>
  <si>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</si>
  <si>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</si>
  <si>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</si>
  <si>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</si>
  <si>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</si>
  <si>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</si>
  <si>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</si>
  <si>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</si>
  <si>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</si>
  <si>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</si>
  <si>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</si>
  <si>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</si>
  <si>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</si>
  <si>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</si>
  <si>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</si>
  <si>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</si>
  <si>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</si>
  <si>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</si>
  <si>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</si>
  <si>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</si>
  <si>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</si>
  <si>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</si>
  <si>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</si>
  <si>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</si>
  <si>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</si>
  <si>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</si>
  <si>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</si>
  <si>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</si>
  <si>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</si>
  <si>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</si>
  <si>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</si>
  <si>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</si>
  <si>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</si>
  <si>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</si>
  <si>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</si>
  <si>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</si>
  <si>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</si>
  <si>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</si>
  <si>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</si>
  <si>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</si>
  <si>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</si>
  <si>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</si>
  <si>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</si>
  <si>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</si>
  <si>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</si>
  <si>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</si>
  <si>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</si>
  <si>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</si>
  <si>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</si>
  <si>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</si>
  <si>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</si>
  <si>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</si>
  <si>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</si>
  <si>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</si>
  <si>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</si>
  <si>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</si>
  <si>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</si>
  <si>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</si>
  <si>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</si>
  <si>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</si>
  <si>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</si>
  <si>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</si>
  <si>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</si>
  <si>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</si>
  <si>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</si>
  <si>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</si>
  <si>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</si>
  <si>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</si>
  <si>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</si>
  <si>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</si>
  <si>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</si>
  <si>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</si>
  <si>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</si>
  <si>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</si>
  <si>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</si>
  <si>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</si>
  <si>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</si>
  <si>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</si>
  <si>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</si>
  <si>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</si>
  <si>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</si>
  <si>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</si>
  <si>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</si>
  <si>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</si>
  <si>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</si>
  <si>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</si>
  <si>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</si>
  <si>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</si>
  <si>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</si>
  <si>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</si>
  <si>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</si>
  <si>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</si>
  <si>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</si>
  <si>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</si>
  <si>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</si>
  <si>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</si>
  <si>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</si>
  <si>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</si>
  <si>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</si>
  <si>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</si>
  <si>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</si>
  <si>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</si>
  <si>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</si>
  <si>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</si>
  <si>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</si>
  <si>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</si>
  <si>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</si>
  <si>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</si>
  <si>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</si>
  <si>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</si>
  <si>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</si>
  <si>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</si>
  <si>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</si>
  <si>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</si>
  <si>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</si>
  <si>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</si>
  <si>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</si>
  <si>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</si>
  <si>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</si>
  <si>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</si>
  <si>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</si>
  <si>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</si>
  <si>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</si>
  <si>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</si>
  <si>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</si>
  <si>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</si>
  <si>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</si>
  <si>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</si>
  <si>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</si>
  <si>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</si>
  <si>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</si>
  <si>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</si>
  <si>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</si>
  <si>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</si>
  <si>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</si>
  <si>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</si>
  <si>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</si>
  <si>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</si>
  <si>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</si>
  <si>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</si>
  <si>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</si>
  <si>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</si>
  <si>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</si>
  <si>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</si>
  <si>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</si>
  <si>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</si>
  <si>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</si>
  <si>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</si>
  <si>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</si>
  <si>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</si>
  <si>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</si>
  <si>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</si>
  <si>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</si>
  <si>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</si>
  <si>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</si>
  <si>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</si>
  <si>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</si>
  <si>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</si>
  <si>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</si>
  <si>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</si>
  <si>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</si>
  <si>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</si>
  <si>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</si>
  <si>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</si>
  <si>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</si>
  <si>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</si>
  <si>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</si>
  <si>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</si>
  <si>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</si>
  <si>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</si>
  <si>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</si>
  <si>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</si>
  <si>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</si>
  <si>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</si>
  <si>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</si>
  <si>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</si>
  <si>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</si>
  <si>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</si>
  <si>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</si>
  <si>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</si>
  <si>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</si>
  <si>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</si>
  <si>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</si>
  <si>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</si>
  <si>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</si>
  <si>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</si>
  <si>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</si>
  <si>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</si>
  <si>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</si>
  <si>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</si>
  <si>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</si>
  <si>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</si>
  <si>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</si>
  <si>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</si>
  <si>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</si>
  <si>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</si>
  <si>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</si>
  <si>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</si>
  <si>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</si>
  <si>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</si>
  <si>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</si>
  <si>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</si>
  <si>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</si>
  <si>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</si>
  <si>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</si>
  <si>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</si>
  <si>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</si>
  <si>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</si>
  <si>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</si>
  <si>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</si>
  <si>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</si>
  <si>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</si>
  <si>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</si>
  <si>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</si>
  <si>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</si>
  <si>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</si>
  <si>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</si>
  <si>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</si>
  <si>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</si>
  <si>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</si>
  <si>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</si>
  <si>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</si>
  <si>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</si>
  <si>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</si>
  <si>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</si>
  <si>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</si>
  <si>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</si>
  <si>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</si>
  <si>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</si>
  <si>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</si>
  <si>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</si>
  <si>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</si>
  <si>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</si>
  <si>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</si>
  <si>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</si>
  <si>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</si>
  <si>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</si>
  <si>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</si>
  <si>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</si>
  <si>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</si>
  <si>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</si>
  <si>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</si>
  <si>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</si>
  <si>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</si>
  <si>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</si>
  <si>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</si>
  <si>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</si>
  <si>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</si>
  <si>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</si>
  <si>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</si>
  <si>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</si>
  <si>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</si>
  <si>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</si>
  <si>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</si>
  <si>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</si>
  <si>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</si>
  <si>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</si>
  <si>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</si>
  <si>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</si>
  <si>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</si>
  <si>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</si>
  <si>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</si>
  <si>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</si>
  <si>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</si>
  <si>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</si>
  <si>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</si>
  <si>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</si>
  <si>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</si>
  <si>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</si>
  <si>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</si>
  <si>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</si>
  <si>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</si>
  <si>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</si>
  <si>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</si>
  <si>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</si>
  <si>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</si>
  <si>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</si>
  <si>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</si>
  <si>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</si>
  <si>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</si>
  <si>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</si>
  <si>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</si>
  <si>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</si>
  <si>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</si>
  <si>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</si>
  <si>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</si>
  <si>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</si>
  <si>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</si>
  <si>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</si>
  <si>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</si>
  <si>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</si>
  <si>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</si>
  <si>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</si>
  <si>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</si>
  <si>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</si>
  <si>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</si>
  <si>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</si>
  <si>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</si>
  <si>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</si>
  <si>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</si>
  <si>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</si>
  <si>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</si>
  <si>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</si>
  <si>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</si>
  <si>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</si>
  <si>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</si>
  <si>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</si>
  <si>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</si>
  <si>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</si>
  <si>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</si>
  <si>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</si>
  <si>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</si>
  <si>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</si>
  <si>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</si>
  <si>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</si>
  <si>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</si>
  <si>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</si>
  <si>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</si>
  <si>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</si>
  <si>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</si>
  <si>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</si>
  <si>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</si>
  <si>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</si>
  <si>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</si>
  <si>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</si>
  <si>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</si>
  <si>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</si>
  <si>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</si>
  <si>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</si>
  <si>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</si>
  <si>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</si>
  <si>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</si>
  <si>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</si>
  <si>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</si>
  <si>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</si>
  <si>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</si>
  <si>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</si>
  <si>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</si>
  <si>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</si>
  <si>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</si>
  <si>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</si>
  <si>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</si>
  <si>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</si>
  <si>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</si>
  <si>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</si>
  <si>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</si>
  <si>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</si>
  <si>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</si>
  <si>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</si>
  <si>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</si>
  <si>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</si>
  <si>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</si>
  <si>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</si>
  <si>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</si>
  <si>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</si>
  <si>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</si>
  <si>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</si>
  <si>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</si>
  <si>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</si>
  <si>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</si>
  <si>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</si>
  <si>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</si>
  <si>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</si>
  <si>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</si>
  <si>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</si>
  <si>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</si>
  <si>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</si>
  <si>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</si>
  <si>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</si>
  <si>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</si>
  <si>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</si>
  <si>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</si>
  <si>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</si>
  <si>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</si>
  <si>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</si>
  <si>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</si>
  <si>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</si>
  <si>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</si>
  <si>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</si>
  <si>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</si>
  <si>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</si>
  <si>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</si>
  <si>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</si>
  <si>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</si>
  <si>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</si>
  <si>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</si>
  <si>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</si>
  <si>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</si>
  <si>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</si>
  <si>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</si>
  <si>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</si>
  <si>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</si>
  <si>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</si>
  <si>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</si>
  <si>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</si>
  <si>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</si>
  <si>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</si>
  <si>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</si>
  <si>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</si>
  <si>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</si>
  <si>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</si>
  <si>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</si>
  <si>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</si>
  <si>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</si>
  <si>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</si>
  <si>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</si>
  <si>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</si>
  <si>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</si>
  <si>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</si>
  <si>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</si>
  <si>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</si>
  <si>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</si>
  <si>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</si>
  <si>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</si>
  <si>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</si>
  <si>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</si>
  <si>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</si>
  <si>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</si>
  <si>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</si>
  <si>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</si>
  <si>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</si>
  <si>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</si>
  <si>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</si>
  <si>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</si>
  <si>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</si>
  <si>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</si>
  <si>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</si>
  <si>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</si>
  <si>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</si>
  <si>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</si>
  <si>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</si>
  <si>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</si>
  <si>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</si>
  <si>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</si>
  <si>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</si>
  <si>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</si>
  <si>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</si>
  <si>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</si>
  <si>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</si>
  <si>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</si>
  <si>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</si>
  <si>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</si>
  <si>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</si>
  <si>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</si>
  <si>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</si>
  <si>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</si>
  <si>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</si>
  <si>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</si>
  <si>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</si>
  <si>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</si>
  <si>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</si>
  <si>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</si>
  <si>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</si>
  <si>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</si>
  <si>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</si>
  <si>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</si>
  <si>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</si>
  <si>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</si>
  <si>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</si>
  <si>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</si>
  <si>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</si>
  <si>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</si>
  <si>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</si>
  <si>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</si>
  <si>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</si>
  <si>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</si>
  <si>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</si>
  <si>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</si>
  <si>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</si>
  <si>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</si>
  <si>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</si>
  <si>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</si>
  <si>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</si>
  <si>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</si>
  <si>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</si>
  <si>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</si>
  <si>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</si>
  <si>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</si>
  <si>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</si>
  <si>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</si>
  <si>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</si>
  <si>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</si>
  <si>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</si>
  <si>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</si>
  <si>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</si>
  <si>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</si>
  <si>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</si>
  <si>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</si>
  <si>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</si>
  <si>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</si>
  <si>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</si>
  <si>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</si>
  <si>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</si>
  <si>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</si>
  <si>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</si>
  <si>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</si>
  <si>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</si>
  <si>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</si>
  <si>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</si>
  <si>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</si>
  <si>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</si>
  <si>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</si>
  <si>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</si>
  <si>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</si>
  <si>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</si>
  <si>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</si>
  <si>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</si>
  <si>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</si>
  <si>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</si>
  <si>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</si>
  <si>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</si>
  <si>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</si>
  <si>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</si>
  <si>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</si>
  <si>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</si>
  <si>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</si>
  <si>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</si>
  <si>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</si>
  <si>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</si>
  <si>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</si>
  <si>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</si>
  <si>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</si>
  <si>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</si>
  <si>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</si>
  <si>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</si>
  <si>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</si>
  <si>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</si>
  <si>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</si>
  <si>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</si>
  <si>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</si>
  <si>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</si>
  <si>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</si>
  <si>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</si>
  <si>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</si>
  <si>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</si>
  <si>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</si>
  <si>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</si>
  <si>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</si>
  <si>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</si>
  <si>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</si>
  <si>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</si>
  <si>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</si>
  <si>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</si>
  <si>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</si>
  <si>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</si>
  <si>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</si>
  <si>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</si>
  <si>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</si>
  <si>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</si>
  <si>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</si>
  <si>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</si>
  <si>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</si>
  <si>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</si>
  <si>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</si>
  <si>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</si>
  <si>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</si>
  <si>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</si>
  <si>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</si>
  <si>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</si>
  <si>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</si>
  <si>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</si>
  <si>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</si>
  <si>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</si>
  <si>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</si>
  <si>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</si>
  <si>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</si>
  <si>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</si>
  <si>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</si>
  <si>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</si>
  <si>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</si>
  <si>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</si>
  <si>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</si>
  <si>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</si>
  <si>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</si>
  <si>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</si>
  <si>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</si>
  <si>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</si>
  <si>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</si>
  <si>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</si>
  <si>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</si>
  <si>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</si>
  <si>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</si>
  <si>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</si>
  <si>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</si>
  <si>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</si>
  <si>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</si>
  <si>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</si>
  <si>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</si>
  <si>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</si>
  <si>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</si>
  <si>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</si>
  <si>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</si>
  <si>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</si>
  <si>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</si>
  <si>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</si>
  <si>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</si>
  <si>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</si>
  <si>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</si>
  <si>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</si>
  <si>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</si>
  <si>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</si>
  <si>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</si>
  <si>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</si>
  <si>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</si>
  <si>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</si>
  <si>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</si>
  <si>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</si>
  <si>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</si>
  <si>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</si>
  <si>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</si>
  <si>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</si>
  <si>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</si>
  <si>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</si>
  <si>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</si>
  <si>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</si>
  <si>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</si>
  <si>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</si>
  <si>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</si>
  <si>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</si>
  <si>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</si>
  <si>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</si>
  <si>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</si>
  <si>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</si>
  <si>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</si>
  <si>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</si>
  <si>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</si>
  <si>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</si>
  <si>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</si>
  <si>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</si>
  <si>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</si>
  <si>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</si>
  <si>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</si>
  <si>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</si>
  <si>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</si>
  <si>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</si>
  <si>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</si>
  <si>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</si>
  <si>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</si>
  <si>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</si>
  <si>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</si>
  <si>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</si>
  <si>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</si>
  <si>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</si>
  <si>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</si>
  <si>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</si>
  <si>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</si>
  <si>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</si>
  <si>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</si>
  <si>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</si>
  <si>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</si>
  <si>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</si>
  <si>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</si>
  <si>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</si>
  <si>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</si>
  <si>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</si>
  <si>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</si>
  <si>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</si>
  <si>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</si>
  <si>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</si>
  <si>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</si>
  <si>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</si>
  <si>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</si>
  <si>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</si>
  <si>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</si>
  <si>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</si>
  <si>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</si>
  <si>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</si>
  <si>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</si>
  <si>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</si>
  <si>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</si>
  <si>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</si>
  <si>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</si>
  <si>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</si>
  <si>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</si>
  <si>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</si>
  <si>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</si>
  <si>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</si>
  <si>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</si>
  <si>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</si>
  <si>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</si>
  <si>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</si>
  <si>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</si>
  <si>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</si>
  <si>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</si>
  <si>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</si>
  <si>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</si>
  <si>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</si>
  <si>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</si>
  <si>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</si>
  <si>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</si>
  <si>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</si>
  <si>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</si>
  <si>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</si>
  <si>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</si>
  <si>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</si>
  <si>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</si>
  <si>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</si>
  <si>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</si>
  <si>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</si>
  <si>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</si>
  <si>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</si>
  <si>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</si>
  <si>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</si>
  <si>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</si>
  <si>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</si>
  <si>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</si>
  <si>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</si>
  <si>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</si>
  <si>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</si>
  <si>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</si>
  <si>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</si>
  <si>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</si>
  <si>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</si>
  <si>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</si>
  <si>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</si>
  <si>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</si>
  <si>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</si>
  <si>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</si>
  <si>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</si>
  <si>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</si>
  <si>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</si>
  <si>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</si>
  <si>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</si>
  <si>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</si>
  <si>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</si>
  <si>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</si>
  <si>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</si>
  <si>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</si>
  <si>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</si>
  <si>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</si>
  <si>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</si>
  <si>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</si>
  <si>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</si>
  <si>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</si>
  <si>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</si>
  <si>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</si>
  <si>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</si>
  <si>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</si>
  <si>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</si>
  <si>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</si>
  <si>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</si>
  <si>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</si>
  <si>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</si>
  <si>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</si>
  <si>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</si>
  <si>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</si>
  <si>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</si>
  <si>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</si>
  <si>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</si>
  <si>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</si>
  <si>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</si>
  <si>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</si>
  <si>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</si>
  <si>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</si>
  <si>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</si>
  <si>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</si>
  <si>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</si>
  <si>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</si>
  <si>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</si>
  <si>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</si>
  <si>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</si>
  <si>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</si>
  <si>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</si>
  <si>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</si>
  <si>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</si>
  <si>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</si>
  <si>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</si>
  <si>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</si>
  <si>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</si>
  <si>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</si>
  <si>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</si>
  <si>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</si>
  <si>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</si>
  <si>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</si>
  <si>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</si>
  <si>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</si>
  <si>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</si>
  <si>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</si>
  <si>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</si>
  <si>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</si>
  <si>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</si>
  <si>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</si>
  <si>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</si>
  <si>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</si>
  <si>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</si>
  <si>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</si>
  <si>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</si>
  <si>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</si>
  <si>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</si>
  <si>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</si>
  <si>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</si>
  <si>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</si>
  <si>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</si>
  <si>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</si>
  <si>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</si>
  <si>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</si>
  <si>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</si>
  <si>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</si>
  <si>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</si>
  <si>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</si>
  <si>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</si>
  <si>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</si>
  <si>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</si>
  <si>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</si>
  <si>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</si>
  <si>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</si>
  <si>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</si>
  <si>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</si>
  <si>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</si>
  <si>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</si>
  <si>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</si>
  <si>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</si>
  <si>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</si>
  <si>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</si>
  <si>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</si>
  <si>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</si>
  <si>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</si>
  <si>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</si>
  <si>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</si>
  <si>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</si>
  <si>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</si>
  <si>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</si>
  <si>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</si>
  <si>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</si>
  <si>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</si>
  <si>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</si>
  <si>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</si>
  <si>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</si>
  <si>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</si>
  <si>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</si>
  <si>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</si>
  <si>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</si>
  <si>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</si>
  <si>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</si>
  <si>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</si>
  <si>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</si>
  <si>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</si>
  <si>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</si>
  <si>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</si>
  <si>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</si>
  <si>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</si>
  <si>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</si>
  <si>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</si>
  <si>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</si>
  <si>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</si>
  <si>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</si>
  <si>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</si>
  <si>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</si>
  <si>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</si>
  <si>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</si>
  <si>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</si>
  <si>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</si>
  <si>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</si>
  <si>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</si>
  <si>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</si>
  <si>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</si>
  <si>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</si>
  <si>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</si>
  <si>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</si>
  <si>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</si>
  <si>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</si>
  <si>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</si>
  <si>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</si>
  <si>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</si>
  <si>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</si>
  <si>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</si>
  <si>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</si>
  <si>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</si>
  <si>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</si>
  <si>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</si>
  <si>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</si>
  <si>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</si>
  <si>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</si>
  <si>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</si>
  <si>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</si>
  <si>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</si>
  <si>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</si>
  <si>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</si>
  <si>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</si>
  <si>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</si>
  <si>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</si>
  <si>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</si>
  <si>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</si>
  <si>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</si>
  <si>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</si>
  <si>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</si>
  <si>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</si>
  <si>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</si>
  <si>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</si>
  <si>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</si>
  <si>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</si>
  <si>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</si>
  <si>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</si>
  <si>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</si>
  <si>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</si>
  <si>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</si>
  <si>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</si>
  <si>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</si>
  <si>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</si>
  <si>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</si>
  <si>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</si>
  <si>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</si>
  <si>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</si>
  <si>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</si>
  <si>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</si>
  <si>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</si>
  <si>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</si>
  <si>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</si>
  <si>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</si>
  <si>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</si>
  <si>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</si>
  <si>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</si>
  <si>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</si>
  <si>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</si>
  <si>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</si>
  <si>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</si>
  <si>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</si>
  <si>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</si>
  <si>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</si>
  <si>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</si>
  <si>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</si>
  <si>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</si>
  <si>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</si>
  <si>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</si>
  <si>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</si>
  <si>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</si>
  <si>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</si>
  <si>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</si>
  <si>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</si>
  <si>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</si>
  <si>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</si>
  <si>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</si>
  <si>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</si>
  <si>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</si>
  <si>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</si>
  <si>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</si>
  <si>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</si>
  <si>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</si>
  <si>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</si>
  <si>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</si>
  <si>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</si>
  <si>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</si>
  <si>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</si>
  <si>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</si>
  <si>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</si>
  <si>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</si>
  <si>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</si>
  <si>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</si>
  <si>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</si>
  <si>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</si>
  <si>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</si>
  <si>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</si>
  <si>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</si>
  <si>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</si>
  <si>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</si>
  <si>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</si>
  <si>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</si>
  <si>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</si>
  <si>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</si>
  <si>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</si>
  <si>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</si>
  <si>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</si>
  <si>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</si>
  <si>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</si>
  <si>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</si>
  <si>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</si>
  <si>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</si>
  <si>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</si>
  <si>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</si>
  <si>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</si>
  <si>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</si>
  <si>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</si>
  <si>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</si>
  <si>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</si>
  <si>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</si>
  <si>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</si>
  <si>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</si>
  <si>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</si>
  <si>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</si>
  <si>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</si>
  <si>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</si>
  <si>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</si>
  <si>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</si>
  <si>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</si>
  <si>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</si>
  <si>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</si>
  <si>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</si>
  <si>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</si>
  <si>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</si>
  <si>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</si>
  <si>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</si>
  <si>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</si>
  <si>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</si>
  <si>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</si>
  <si>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</si>
  <si>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</si>
  <si>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</si>
  <si>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</si>
  <si>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</si>
  <si>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</si>
  <si>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</si>
  <si>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</si>
  <si>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</si>
  <si>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</si>
  <si>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</si>
  <si>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</si>
  <si>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</si>
  <si>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</si>
  <si>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</si>
  <si>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</si>
  <si>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</si>
  <si>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</si>
  <si>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</si>
  <si>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</si>
  <si>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</si>
  <si>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</si>
  <si>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</si>
  <si>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</si>
  <si>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</si>
  <si>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</si>
  <si>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</si>
  <si>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</si>
  <si>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</si>
  <si>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</si>
  <si>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</si>
  <si>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</si>
  <si>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</si>
  <si>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</si>
  <si>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</si>
  <si>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</si>
  <si>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</si>
  <si>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</si>
  <si>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</si>
  <si>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</si>
  <si>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</si>
  <si>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</si>
  <si>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</si>
  <si>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</si>
  <si>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</si>
  <si>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</si>
  <si>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</si>
  <si>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</si>
  <si>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</si>
  <si>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</si>
  <si>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</si>
  <si>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</si>
  <si>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</si>
  <si>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</si>
  <si>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</si>
  <si>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</si>
  <si>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</si>
  <si>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</si>
  <si>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</si>
  <si>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</si>
  <si>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</si>
  <si>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</si>
  <si>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</si>
  <si>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</si>
  <si>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</si>
  <si>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</si>
  <si>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</si>
  <si>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</si>
  <si>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</si>
  <si>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</si>
  <si>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</si>
  <si>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</si>
  <si>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</si>
  <si>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</si>
  <si>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</si>
  <si>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</si>
  <si>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</si>
  <si>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</si>
  <si>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</si>
  <si>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</si>
  <si>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</si>
  <si>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</si>
  <si>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</si>
  <si>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</si>
  <si>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</si>
  <si>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</si>
  <si>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</si>
  <si>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</si>
  <si>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</si>
  <si>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</si>
  <si>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</si>
  <si>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</si>
  <si>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</si>
  <si>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</si>
  <si>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</si>
  <si>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</si>
  <si>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</si>
  <si>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</si>
  <si>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</si>
  <si>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</si>
  <si>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</si>
  <si>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</si>
  <si>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</si>
  <si>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</si>
  <si>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</si>
  <si>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</si>
  <si>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</si>
  <si>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</si>
  <si>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</si>
  <si>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</si>
  <si>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</si>
  <si>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</si>
  <si>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</si>
  <si>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</si>
  <si>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</si>
  <si>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</si>
  <si>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</si>
  <si>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</si>
  <si>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</si>
  <si>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</si>
  <si>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</si>
  <si>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</si>
  <si>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</si>
  <si>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</si>
  <si>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</si>
  <si>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</si>
  <si>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</si>
  <si>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</si>
  <si>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</si>
  <si>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</si>
  <si>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</si>
  <si>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</si>
  <si>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</si>
  <si>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</si>
  <si>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</si>
  <si>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</si>
  <si>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</si>
  <si>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</si>
  <si>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</si>
  <si>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</si>
  <si>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</si>
  <si>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</si>
  <si>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</si>
  <si>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</si>
  <si>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</si>
  <si>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</si>
  <si>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</si>
  <si>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</si>
  <si>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</si>
  <si>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</si>
  <si>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</si>
  <si>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</si>
  <si>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</si>
  <si>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</si>
  <si>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</si>
  <si>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</si>
  <si>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</si>
  <si>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</si>
  <si>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</si>
  <si>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</si>
  <si>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</si>
  <si>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</si>
  <si>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</si>
  <si>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</si>
  <si>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</si>
  <si>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</si>
  <si>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</si>
  <si>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</si>
  <si>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</si>
  <si>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</si>
  <si>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</si>
  <si>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</si>
  <si>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</si>
  <si>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</si>
  <si>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</si>
  <si>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</si>
  <si>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</si>
  <si>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</si>
  <si>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</si>
  <si>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</si>
  <si>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</si>
  <si>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</si>
  <si>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</si>
  <si>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</si>
  <si>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</si>
  <si>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</si>
  <si>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</si>
  <si>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</si>
  <si>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</si>
  <si>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</si>
  <si>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</si>
  <si>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</si>
  <si>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</si>
  <si>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</si>
  <si>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</si>
  <si>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</si>
  <si>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</si>
  <si>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</si>
  <si>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</si>
  <si>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</si>
  <si>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</si>
  <si>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</si>
  <si>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</si>
  <si>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</si>
  <si>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</si>
  <si>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</si>
  <si>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</si>
  <si>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</si>
  <si>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</si>
  <si>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</si>
  <si>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</si>
  <si>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</si>
  <si>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</si>
  <si>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</si>
  <si>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</si>
  <si>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</si>
  <si>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</si>
  <si>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</si>
  <si>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</si>
  <si>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</si>
  <si>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</si>
  <si>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</si>
  <si>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</si>
  <si>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</si>
  <si>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</si>
  <si>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</si>
  <si>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</si>
  <si>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</si>
  <si>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</si>
  <si>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</si>
  <si>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</si>
  <si>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</si>
  <si>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</si>
  <si>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</si>
  <si>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</si>
  <si>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</si>
  <si>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</si>
  <si>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</si>
  <si>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</si>
  <si>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</si>
  <si>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</si>
  <si>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</si>
  <si>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</si>
  <si>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</si>
  <si>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</si>
  <si>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</si>
  <si>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</si>
  <si>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</si>
  <si>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</si>
  <si>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</si>
  <si>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</si>
  <si>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</si>
  <si>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</si>
  <si>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</si>
  <si>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</si>
  <si>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</si>
  <si>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</si>
  <si>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</si>
  <si>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</si>
  <si>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</si>
  <si>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</si>
  <si>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</si>
  <si>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</si>
  <si>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</si>
  <si>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</si>
  <si>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</si>
  <si>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</si>
  <si>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</si>
  <si>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</si>
  <si>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</si>
  <si>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</si>
  <si>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</si>
  <si>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</si>
  <si>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</si>
  <si>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</si>
  <si>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</si>
  <si>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</si>
  <si>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</si>
  <si>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</si>
  <si>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</si>
  <si>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</si>
  <si>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</si>
  <si>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</si>
  <si>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</si>
  <si>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</si>
  <si>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</si>
  <si>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</si>
  <si>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</si>
  <si>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</si>
  <si>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</si>
  <si>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</si>
  <si>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</si>
  <si>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</si>
  <si>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</si>
  <si>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</si>
  <si>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</si>
  <si>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</si>
  <si>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</si>
  <si>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</si>
  <si>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</si>
  <si>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</si>
  <si>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</si>
  <si>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</si>
  <si>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</si>
  <si>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</si>
  <si>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</si>
  <si>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</si>
  <si>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</si>
  <si>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</si>
  <si>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</si>
  <si>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</si>
  <si>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</si>
  <si>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</si>
  <si>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</si>
  <si>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</si>
  <si>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</si>
  <si>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</si>
  <si>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</si>
  <si>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</si>
  <si>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</si>
  <si>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</si>
  <si>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</si>
  <si>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</si>
  <si>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</si>
  <si>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</si>
  <si>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</si>
  <si>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</si>
  <si>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</si>
  <si>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</si>
  <si>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</si>
  <si>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</si>
  <si>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</si>
  <si>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</si>
  <si>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</si>
  <si>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</si>
  <si>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</si>
  <si>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</si>
  <si>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</si>
  <si>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</si>
  <si>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</si>
  <si>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</si>
  <si>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</si>
  <si>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</si>
  <si>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</si>
  <si>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</si>
  <si>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</si>
  <si>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</si>
  <si>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</si>
  <si>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</si>
  <si>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</si>
  <si>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</si>
  <si>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</si>
  <si>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</si>
  <si>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</si>
  <si>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</si>
  <si>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</si>
  <si>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</si>
  <si>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</si>
  <si>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</si>
  <si>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</si>
  <si>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</si>
  <si>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</si>
  <si>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</si>
  <si>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</si>
  <si>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</si>
  <si>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</si>
  <si>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</si>
  <si>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</si>
  <si>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</si>
  <si>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</si>
  <si>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</si>
  <si>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</si>
  <si>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</si>
  <si>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</si>
  <si>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</si>
  <si>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</si>
  <si>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</si>
  <si>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</si>
  <si>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</si>
  <si>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</si>
  <si>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</si>
  <si>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</si>
  <si>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</si>
  <si>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</si>
  <si>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</si>
  <si>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</si>
  <si>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</si>
  <si>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</si>
  <si>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</si>
  <si>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</si>
  <si>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</si>
  <si>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</si>
  <si>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</si>
  <si>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</si>
  <si>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</si>
  <si>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</si>
  <si>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</si>
  <si>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</si>
  <si>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</si>
  <si>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</si>
  <si>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</si>
  <si>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</si>
  <si>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</si>
  <si>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</si>
  <si>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</si>
  <si>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</si>
  <si>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</si>
  <si>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</si>
  <si>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</si>
  <si>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</si>
  <si>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</si>
  <si>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</si>
  <si>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</si>
  <si>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</si>
  <si>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</si>
  <si>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</si>
  <si>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</si>
  <si>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</si>
  <si>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</si>
  <si>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</si>
  <si>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</si>
  <si>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</si>
  <si>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</si>
  <si>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</si>
  <si>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</si>
  <si>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</si>
  <si>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</si>
  <si>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</si>
  <si>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</si>
  <si>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</si>
  <si>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</si>
  <si>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</si>
  <si>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</si>
  <si>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</si>
  <si>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</si>
  <si>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</si>
  <si>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</si>
  <si>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</si>
  <si>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</si>
  <si>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</si>
  <si>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</si>
  <si>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</si>
  <si>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</si>
  <si>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</si>
  <si>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</si>
  <si>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</si>
  <si>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</si>
  <si>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</si>
  <si>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</si>
  <si>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</si>
  <si>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</si>
  <si>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</si>
  <si>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</si>
  <si>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</si>
  <si>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</si>
  <si>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</si>
  <si>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</si>
  <si>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</si>
  <si>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</si>
  <si>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</si>
  <si>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</si>
  <si>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</si>
  <si>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</si>
  <si>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</si>
  <si>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</si>
  <si>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</si>
  <si>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</si>
  <si>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</si>
  <si>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</si>
  <si>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</si>
  <si>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</si>
  <si>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</si>
  <si>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</si>
  <si>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</si>
  <si>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</si>
  <si>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</si>
  <si>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</si>
  <si>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</si>
  <si>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</si>
  <si>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</si>
  <si>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</si>
  <si>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</si>
  <si>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</si>
  <si>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</si>
  <si>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</si>
  <si>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</si>
  <si>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</si>
  <si>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</si>
  <si>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</si>
  <si>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</si>
  <si>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</si>
  <si>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</si>
  <si>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</si>
  <si>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</si>
  <si>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</si>
  <si>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</si>
  <si>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</si>
  <si>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</si>
  <si>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</si>
  <si>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</si>
  <si>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</si>
  <si>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</si>
  <si>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</si>
  <si>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</si>
  <si>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</si>
  <si>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</si>
  <si>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</si>
  <si>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</si>
  <si>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</si>
  <si>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</si>
  <si>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</si>
  <si>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</si>
  <si>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</si>
  <si>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</si>
  <si>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</si>
  <si>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</si>
  <si>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</si>
  <si>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</si>
  <si>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</si>
  <si>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</si>
  <si>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</si>
  <si>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</si>
  <si>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</si>
  <si>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</si>
  <si>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</si>
  <si>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</si>
  <si>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</si>
  <si>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</si>
  <si>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</si>
  <si>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</si>
  <si>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</si>
  <si>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</si>
  <si>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</si>
  <si>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</si>
  <si>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</si>
  <si>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</si>
  <si>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</si>
  <si>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</si>
  <si>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</si>
  <si>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</si>
  <si>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</si>
  <si>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</si>
  <si>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</si>
  <si>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</si>
  <si>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</si>
  <si>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</si>
  <si>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</si>
  <si>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</si>
  <si>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</si>
  <si>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</si>
  <si>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</si>
  <si>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</si>
  <si>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</si>
  <si>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</si>
  <si>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</si>
  <si>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</si>
  <si>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</si>
  <si>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</si>
  <si>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</si>
  <si>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</si>
  <si>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</si>
  <si>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</si>
  <si>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</si>
  <si>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</si>
  <si>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</si>
  <si>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</si>
  <si>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</si>
  <si>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</si>
  <si>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</si>
  <si>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</si>
  <si>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</si>
  <si>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</si>
  <si>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</si>
  <si>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</si>
  <si>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</si>
  <si>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</si>
  <si>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</si>
  <si>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</si>
  <si>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</si>
  <si>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</si>
  <si>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</si>
  <si>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</si>
  <si>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</si>
  <si>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</si>
  <si>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</si>
  <si>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</si>
  <si>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</si>
  <si>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</si>
  <si>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</si>
  <si>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</si>
  <si>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</si>
  <si>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</si>
  <si>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</si>
  <si>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</si>
  <si>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</si>
  <si>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</si>
  <si>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</si>
  <si>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</si>
  <si>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</si>
  <si>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</si>
  <si>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</si>
  <si>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</si>
  <si>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</si>
  <si>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</si>
  <si>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</si>
  <si>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</si>
  <si>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</si>
  <si>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</si>
  <si>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</si>
  <si>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</si>
  <si>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</si>
  <si>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</si>
  <si>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</si>
  <si>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</si>
  <si>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</si>
  <si>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</si>
  <si>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</si>
  <si>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</si>
  <si>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</si>
  <si>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</si>
  <si>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</si>
  <si>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</si>
  <si>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</si>
  <si>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</si>
  <si>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</si>
  <si>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</si>
  <si>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</si>
  <si>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</si>
  <si>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</si>
  <si>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</si>
  <si>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</si>
  <si>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</si>
  <si>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</si>
  <si>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</si>
  <si>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</si>
  <si>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</si>
  <si>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</si>
  <si>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</si>
  <si>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</si>
  <si>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</si>
  <si>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</si>
  <si>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</si>
  <si>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</si>
  <si>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</si>
  <si>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</si>
  <si>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</si>
  <si>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</si>
  <si>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</si>
  <si>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</si>
  <si>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</si>
  <si>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</si>
  <si>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</si>
  <si>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</si>
  <si>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</si>
  <si>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</si>
  <si>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</si>
  <si>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</si>
  <si>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</si>
  <si>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</si>
  <si>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</si>
  <si>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</si>
  <si>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</si>
  <si>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</si>
  <si>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</si>
  <si>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</si>
  <si>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</si>
  <si>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</si>
  <si>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</si>
  <si>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</si>
  <si>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</si>
  <si>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</si>
  <si>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</si>
  <si>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</si>
  <si>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</si>
  <si>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</si>
  <si>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</si>
  <si>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</si>
  <si>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</si>
  <si>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</si>
  <si>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</si>
  <si>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</si>
  <si>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</si>
  <si>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</si>
  <si>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</si>
  <si>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</si>
  <si>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</si>
  <si>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</si>
  <si>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</si>
  <si>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</si>
  <si>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</si>
  <si>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</si>
  <si>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</si>
  <si>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</si>
  <si>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</si>
  <si>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</si>
  <si>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</si>
  <si>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</si>
  <si>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</si>
  <si>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</si>
  <si>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</si>
  <si>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</si>
  <si>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</si>
  <si>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</si>
  <si>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</si>
  <si>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</si>
  <si>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</si>
  <si>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</si>
  <si>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</si>
  <si>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</si>
  <si>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</si>
  <si>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</si>
  <si>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</si>
  <si>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</si>
  <si>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</si>
  <si>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</si>
  <si>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</si>
  <si>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</si>
  <si>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</si>
  <si>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</si>
  <si>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</si>
  <si>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</si>
  <si>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</si>
  <si>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</si>
  <si>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</si>
  <si>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</si>
  <si>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</si>
  <si>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</si>
  <si>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</si>
  <si>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</si>
  <si>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</si>
  <si>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</si>
  <si>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</si>
  <si>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</si>
  <si>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</si>
  <si>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</si>
  <si>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</si>
  <si>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</si>
  <si>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</si>
  <si>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</si>
  <si>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</si>
  <si>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</si>
  <si>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</si>
  <si>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</si>
  <si>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</si>
  <si>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</si>
  <si>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</si>
  <si>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</si>
  <si>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</si>
  <si>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</si>
  <si>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</si>
  <si>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</si>
  <si>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</si>
  <si>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</si>
  <si>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</si>
  <si>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</si>
  <si>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</si>
  <si>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</si>
  <si>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</si>
  <si>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</si>
  <si>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</si>
  <si>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</si>
  <si>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</si>
  <si>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</si>
  <si>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</si>
  <si>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</si>
  <si>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</si>
  <si>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</si>
  <si>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</si>
  <si>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</si>
  <si>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</si>
  <si>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</si>
  <si>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</si>
  <si>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</si>
  <si>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</si>
  <si>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</si>
  <si>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</si>
  <si>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</si>
  <si>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</si>
  <si>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</si>
  <si>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</si>
  <si>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</si>
  <si>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</si>
  <si>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</si>
  <si>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</si>
  <si>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</si>
  <si>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</si>
  <si>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</si>
  <si>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</si>
  <si>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</si>
  <si>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</si>
  <si>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</si>
  <si>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</si>
  <si>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</si>
  <si>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</si>
  <si>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</si>
  <si>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</si>
  <si>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</si>
  <si>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</si>
  <si>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</si>
  <si>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</si>
  <si>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</si>
  <si>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</si>
  <si>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</si>
  <si>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</si>
  <si>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</si>
  <si>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</si>
  <si>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</si>
  <si>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</si>
  <si>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</si>
  <si>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</si>
  <si>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</si>
  <si>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</si>
  <si>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</si>
  <si>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</si>
  <si>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</si>
  <si>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</si>
  <si>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</si>
  <si>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</si>
  <si>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</si>
  <si>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</si>
  <si>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</si>
  <si>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</si>
  <si>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</si>
  <si>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</si>
  <si>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</si>
  <si>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</si>
  <si>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</si>
  <si>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</si>
  <si>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</si>
  <si>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</si>
  <si>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</si>
  <si>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</si>
  <si>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</si>
  <si>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</si>
  <si>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</si>
  <si>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</si>
  <si>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</si>
  <si>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</si>
  <si>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</si>
  <si>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</si>
  <si>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</si>
  <si>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</si>
  <si>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</si>
  <si>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</si>
  <si>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</si>
  <si>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</si>
  <si>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</si>
  <si>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</si>
  <si>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</si>
  <si>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</si>
  <si>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</si>
  <si>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</si>
  <si>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</si>
  <si>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</si>
  <si>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</si>
  <si>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</si>
  <si>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</si>
  <si>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</si>
  <si>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</si>
  <si>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</si>
  <si>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</si>
  <si>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</si>
  <si>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</si>
  <si>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</si>
  <si>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</si>
  <si>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</si>
  <si>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</si>
  <si>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</si>
  <si>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</si>
  <si>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</si>
  <si>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</si>
  <si>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</si>
  <si>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</si>
  <si>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</si>
  <si>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</si>
  <si>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</si>
  <si>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</si>
  <si>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</si>
  <si>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</si>
  <si>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</si>
  <si>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</si>
  <si>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</si>
  <si>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</si>
  <si>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</si>
  <si>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</si>
  <si>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</si>
  <si>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</si>
  <si>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</si>
  <si>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</si>
  <si>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</si>
  <si>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</si>
  <si>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</si>
  <si>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</si>
  <si>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</si>
  <si>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</si>
  <si>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</si>
  <si>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</si>
  <si>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</si>
  <si>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</si>
  <si>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</si>
  <si>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</si>
  <si>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</si>
  <si>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</si>
  <si>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</si>
  <si>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</si>
  <si>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</si>
  <si>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</si>
  <si>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</si>
  <si>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</si>
  <si>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</si>
  <si>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</si>
  <si>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</si>
  <si>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</si>
  <si>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</si>
  <si>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</si>
  <si>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</si>
  <si>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</si>
  <si>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</si>
  <si>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</si>
  <si>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</si>
  <si>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</si>
  <si>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</si>
  <si>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</si>
  <si>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</si>
  <si>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</si>
  <si>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</si>
  <si>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</si>
  <si>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</si>
  <si>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</si>
  <si>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</si>
  <si>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</si>
  <si>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</si>
  <si>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</si>
  <si>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</si>
  <si>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</si>
  <si>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</si>
  <si>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</si>
  <si>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</si>
  <si>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</si>
  <si>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</si>
  <si>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</si>
  <si>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</si>
  <si>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</si>
  <si>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</si>
  <si>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</si>
  <si>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</si>
  <si>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</si>
  <si>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</si>
  <si>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</si>
  <si>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</si>
  <si>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</si>
  <si>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</si>
  <si>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</si>
  <si>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</si>
  <si>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</si>
  <si>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</si>
  <si>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</si>
  <si>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</si>
  <si>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</si>
  <si>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</si>
  <si>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</si>
  <si>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</si>
  <si>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</si>
  <si>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</si>
  <si>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</si>
  <si>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</si>
  <si>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</si>
  <si>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</si>
  <si>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</si>
  <si>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</si>
  <si>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</si>
  <si>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</si>
  <si>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</si>
  <si>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</si>
  <si>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</si>
  <si>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</si>
  <si>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</si>
  <si>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</si>
  <si>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</si>
  <si>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</si>
  <si>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</si>
  <si>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</si>
  <si>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</si>
  <si>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</si>
  <si>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</si>
  <si>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</si>
  <si>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</si>
  <si>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</si>
  <si>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</si>
  <si>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</si>
  <si>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</si>
  <si>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</si>
  <si>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</si>
  <si>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</si>
  <si>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</si>
  <si>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</si>
  <si>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</si>
  <si>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</si>
  <si>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</si>
  <si>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</si>
  <si>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</si>
  <si>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</si>
  <si>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</si>
  <si>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</si>
  <si>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</si>
  <si>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</si>
  <si>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</si>
  <si>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</si>
  <si>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</si>
  <si>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</si>
  <si>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</si>
  <si>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</si>
  <si>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</si>
  <si>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</si>
  <si>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</si>
  <si>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</si>
  <si>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</si>
  <si>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</si>
  <si>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</si>
  <si>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</si>
  <si>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</si>
  <si>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</si>
  <si>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</si>
  <si>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</si>
  <si>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</si>
  <si>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</si>
  <si>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</si>
  <si>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</si>
  <si>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</si>
  <si>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</si>
  <si>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</si>
  <si>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</si>
  <si>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</si>
  <si>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</si>
  <si>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</si>
  <si>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</si>
  <si>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</si>
  <si>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</si>
  <si>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</si>
  <si>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</si>
  <si>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</si>
  <si>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</si>
  <si>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</si>
  <si>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</si>
  <si>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</si>
  <si>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</si>
  <si>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</si>
  <si>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</si>
  <si>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</si>
  <si>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</si>
  <si>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</si>
  <si>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</si>
  <si>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</si>
  <si>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</si>
  <si>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</si>
  <si>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</si>
  <si>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</si>
  <si>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</si>
  <si>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</si>
  <si>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</si>
  <si>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</si>
  <si>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</si>
  <si>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</si>
  <si>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</si>
  <si>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</si>
  <si>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</si>
  <si>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</si>
  <si>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</si>
  <si>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</si>
  <si>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</si>
  <si>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</si>
  <si>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</si>
  <si>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</si>
  <si>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</si>
  <si>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</si>
  <si>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</si>
  <si>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</si>
  <si>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</si>
  <si>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</si>
  <si>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</si>
  <si>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</si>
  <si>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</si>
  <si>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</si>
  <si>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</si>
  <si>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</si>
  <si>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</si>
  <si>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</si>
  <si>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</si>
  <si>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</si>
  <si>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</si>
  <si>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</si>
  <si>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</si>
  <si>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</si>
  <si>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</si>
  <si>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</si>
  <si>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</si>
  <si>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</si>
  <si>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</si>
  <si>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</si>
  <si>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</si>
  <si>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</si>
  <si>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</si>
  <si>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</si>
  <si>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</si>
  <si>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</si>
  <si>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</si>
  <si>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</si>
  <si>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</si>
  <si>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</si>
  <si>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</si>
  <si>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</si>
  <si>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</si>
  <si>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</si>
  <si>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</si>
  <si>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</si>
  <si>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</si>
  <si>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</si>
  <si>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</si>
  <si>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</si>
  <si>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</si>
  <si>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</si>
  <si>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</si>
  <si>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</si>
  <si>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</si>
  <si>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</si>
  <si>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</si>
  <si>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</si>
  <si>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</si>
  <si>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</si>
  <si>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</si>
  <si>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</si>
  <si>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</si>
  <si>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</si>
  <si>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</si>
  <si>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</si>
  <si>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</si>
  <si>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</si>
  <si>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</si>
  <si>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</si>
  <si>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</si>
  <si>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</si>
  <si>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</si>
  <si>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</si>
  <si>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</si>
  <si>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</si>
  <si>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</si>
  <si>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</si>
  <si>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</si>
  <si>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</si>
  <si>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</si>
  <si>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</si>
  <si>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</si>
  <si>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</si>
  <si>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</si>
  <si>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</si>
  <si>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</si>
  <si>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</si>
  <si>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</si>
  <si>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</si>
  <si>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</si>
  <si>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</si>
  <si>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</si>
  <si>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</si>
  <si>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</si>
  <si>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</si>
  <si>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</si>
  <si>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</si>
  <si>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</si>
  <si>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</si>
  <si>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</si>
  <si>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</si>
  <si>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</si>
  <si>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</si>
  <si>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</si>
  <si>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</si>
  <si>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</si>
  <si>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</si>
  <si>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</si>
  <si>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</si>
  <si>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</si>
  <si>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</si>
  <si>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</si>
  <si>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</si>
  <si>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</si>
  <si>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</si>
  <si>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</si>
  <si>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</si>
  <si>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</si>
  <si>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</si>
  <si>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</si>
  <si>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</si>
  <si>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</si>
  <si>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</si>
  <si>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</si>
  <si>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</si>
  <si>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</si>
  <si>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</si>
  <si>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</si>
  <si>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</si>
  <si>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</si>
  <si>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</si>
  <si>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</si>
  <si>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</si>
  <si>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</si>
  <si>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</si>
  <si>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</si>
  <si>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</si>
  <si>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</si>
  <si>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</si>
  <si>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</si>
  <si>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</si>
  <si>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</si>
  <si>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</si>
  <si>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</si>
  <si>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</si>
  <si>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</si>
  <si>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</si>
  <si>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</si>
  <si>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</si>
  <si>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</si>
  <si>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</si>
  <si>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</si>
  <si>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</si>
  <si>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</si>
  <si>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</si>
  <si>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</si>
  <si>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</si>
  <si>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</si>
  <si>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</si>
  <si>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</si>
  <si>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</si>
  <si>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</si>
  <si>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</si>
  <si>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</si>
  <si>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</si>
  <si>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</si>
  <si>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</si>
  <si>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</si>
  <si>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</si>
  <si>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</si>
  <si>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</si>
  <si>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</si>
  <si>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</si>
  <si>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</si>
  <si>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</si>
  <si>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</si>
  <si>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</si>
  <si>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</si>
  <si>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</si>
  <si>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</si>
  <si>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</si>
  <si>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</si>
  <si>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</si>
  <si>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</si>
  <si>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</si>
  <si>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</si>
  <si>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</si>
  <si>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</si>
  <si>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</si>
  <si>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</si>
  <si>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</si>
  <si>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</si>
  <si>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</si>
  <si>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</si>
  <si>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</si>
  <si>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</si>
  <si>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</si>
  <si>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</si>
  <si>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</si>
  <si>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</si>
  <si>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</si>
  <si>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</si>
  <si>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</si>
  <si>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</si>
  <si>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</si>
  <si>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</si>
  <si>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</si>
  <si>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</si>
  <si>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</si>
  <si>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</si>
  <si>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</si>
  <si>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</si>
  <si>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</si>
  <si>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</si>
  <si>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</si>
  <si>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</si>
  <si>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</si>
  <si>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</si>
  <si>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</si>
  <si>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</si>
  <si>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</si>
  <si>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</si>
  <si>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</si>
  <si>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</si>
  <si>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</si>
  <si>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</si>
  <si>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</si>
  <si>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</si>
  <si>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</si>
  <si>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</si>
  <si>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</si>
  <si>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</si>
  <si>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</si>
  <si>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</si>
  <si>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</si>
  <si>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</si>
  <si>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</si>
  <si>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</si>
  <si>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</si>
  <si>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</si>
  <si>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</si>
  <si>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</si>
  <si>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</si>
  <si>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</si>
  <si>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</si>
  <si>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</si>
  <si>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</si>
  <si>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</si>
  <si>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</si>
  <si>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</si>
  <si>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</si>
  <si>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</si>
  <si>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</si>
  <si>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</si>
  <si>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</si>
  <si>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</si>
  <si>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</si>
  <si>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</si>
  <si>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</si>
  <si>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</si>
  <si>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</si>
  <si>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</si>
  <si>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</si>
  <si>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</si>
  <si>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</si>
  <si>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</si>
  <si>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</si>
  <si>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</si>
  <si>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</si>
  <si>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</si>
  <si>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</si>
  <si>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</si>
  <si>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</si>
  <si>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</si>
  <si>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</si>
  <si>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</si>
  <si>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</si>
  <si>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</si>
  <si>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</si>
  <si>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</si>
  <si>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</si>
  <si>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</si>
  <si>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</si>
  <si>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</si>
  <si>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</si>
  <si>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</si>
  <si>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</si>
  <si>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</si>
  <si>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</si>
  <si>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</si>
  <si>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</si>
  <si>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</si>
  <si>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</si>
  <si>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</si>
  <si>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</si>
  <si>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</si>
  <si>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</si>
  <si>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</si>
  <si>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</si>
  <si>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</si>
  <si>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</si>
  <si>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</si>
  <si>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</si>
  <si>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</si>
  <si>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</si>
  <si>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</si>
  <si>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</si>
  <si>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</si>
  <si>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</si>
  <si>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</si>
  <si>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</si>
  <si>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</si>
  <si>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</si>
  <si>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</si>
  <si>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</si>
  <si>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</si>
  <si>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</si>
  <si>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</si>
  <si>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</si>
  <si>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</si>
  <si>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</si>
  <si>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</si>
  <si>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</si>
  <si>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</si>
  <si>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</si>
  <si>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</si>
  <si>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</si>
  <si>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</si>
  <si>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</si>
  <si>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</si>
  <si>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</si>
  <si>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</si>
  <si>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</si>
  <si>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</si>
  <si>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</si>
  <si>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</si>
  <si>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</si>
  <si>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</si>
  <si>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</si>
  <si>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</si>
  <si>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</si>
  <si>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</si>
  <si>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</si>
  <si>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</si>
  <si>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</si>
  <si>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</si>
  <si>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</si>
  <si>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</si>
  <si>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</si>
  <si>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</si>
  <si>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</si>
  <si>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</si>
  <si>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</si>
  <si>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</si>
  <si>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</si>
  <si>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</si>
  <si>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</si>
  <si>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</si>
  <si>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</si>
  <si>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</si>
  <si>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</si>
  <si>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</si>
  <si>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</si>
  <si>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</si>
  <si>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</si>
  <si>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</si>
  <si>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</si>
  <si>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</si>
  <si>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</si>
  <si>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</si>
  <si>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</si>
  <si>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</si>
  <si>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</si>
  <si>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</si>
  <si>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</si>
  <si>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</si>
  <si>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</si>
  <si>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</si>
  <si>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</si>
  <si>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</si>
  <si>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</si>
  <si>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</si>
  <si>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</si>
  <si>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</si>
  <si>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</si>
  <si>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</si>
  <si>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</si>
  <si>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</si>
  <si>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</si>
  <si>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</si>
  <si>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</si>
  <si>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</si>
  <si>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</si>
  <si>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</si>
  <si>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</si>
  <si>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</si>
  <si>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</si>
  <si>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</si>
  <si>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</si>
  <si>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</si>
  <si>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</si>
  <si>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</si>
  <si>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</si>
  <si>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</si>
  <si>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</si>
  <si>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</si>
  <si>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</si>
  <si>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</si>
  <si>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</si>
  <si>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</si>
  <si>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</si>
  <si>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</si>
  <si>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</si>
  <si>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</si>
  <si>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</si>
  <si>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</si>
  <si>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</si>
  <si>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</si>
  <si>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</si>
  <si>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</si>
  <si>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</si>
  <si>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</si>
  <si>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</si>
  <si>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</si>
  <si>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</si>
  <si>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</si>
  <si>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</si>
  <si>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</si>
  <si>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</si>
  <si>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</si>
  <si>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</si>
  <si>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</si>
  <si>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</si>
  <si>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</si>
  <si>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</si>
  <si>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</si>
  <si>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</si>
  <si>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</si>
  <si>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</si>
  <si>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</si>
  <si>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</si>
  <si>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</si>
  <si>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</si>
  <si>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</si>
  <si>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</si>
  <si>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</si>
  <si>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</si>
  <si>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</si>
  <si>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</si>
  <si>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</si>
  <si>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</si>
  <si>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</si>
  <si>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</si>
  <si>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</si>
  <si>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</si>
  <si>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</si>
  <si>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</si>
  <si>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</si>
  <si>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</si>
  <si>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</si>
  <si>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</si>
  <si>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</si>
  <si>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</si>
  <si>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</si>
  <si>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</si>
  <si>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</si>
  <si>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</si>
  <si>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</si>
  <si>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</si>
  <si>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</si>
  <si>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</si>
  <si>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</si>
  <si>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</si>
  <si>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</si>
  <si>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</si>
  <si>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</si>
  <si>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</si>
  <si>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</si>
  <si>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</si>
  <si>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</si>
  <si>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</si>
  <si>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</si>
  <si>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</si>
  <si>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</si>
  <si>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</si>
  <si>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</si>
  <si>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</si>
  <si>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</si>
  <si>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</si>
  <si>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</si>
  <si>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</si>
  <si>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</si>
  <si>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</si>
  <si>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</si>
  <si>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</si>
  <si>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</si>
  <si>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</si>
  <si>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</si>
  <si>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</si>
  <si>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</si>
  <si>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</si>
  <si>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</si>
  <si>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</si>
  <si>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</si>
  <si>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</si>
  <si>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</si>
  <si>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</si>
  <si>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</si>
  <si>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</si>
  <si>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</si>
  <si>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</si>
  <si>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</si>
  <si>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</si>
  <si>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</si>
  <si>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</si>
  <si>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</si>
  <si>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</si>
  <si>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</si>
  <si>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</si>
  <si>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</si>
  <si>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</si>
  <si>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</si>
  <si>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</si>
  <si>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</si>
  <si>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</si>
  <si>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</si>
  <si>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</si>
  <si>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</si>
  <si>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</si>
  <si>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</si>
  <si>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</si>
  <si>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</si>
  <si>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</si>
  <si>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</si>
  <si>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</si>
  <si>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</si>
  <si>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</si>
  <si>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</si>
  <si>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</si>
  <si>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</si>
  <si>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</si>
  <si>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</si>
  <si>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</si>
  <si>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</si>
  <si>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</si>
  <si>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</si>
  <si>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</si>
  <si>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</si>
  <si>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</si>
  <si>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</si>
  <si>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</si>
  <si>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</si>
  <si>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</si>
  <si>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</si>
  <si>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</si>
  <si>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</si>
  <si>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</si>
  <si>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</si>
  <si>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</si>
  <si>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</si>
  <si>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</si>
  <si>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</si>
  <si>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</si>
  <si>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</si>
  <si>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</si>
  <si>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</si>
  <si>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</si>
  <si>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</si>
  <si>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</si>
  <si>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</si>
  <si>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</si>
  <si>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</si>
  <si>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</si>
  <si>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</si>
  <si>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</si>
  <si>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</si>
  <si>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</si>
  <si>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</si>
  <si>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</si>
  <si>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</si>
  <si>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</si>
  <si>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</si>
  <si>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</si>
  <si>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</si>
  <si>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</si>
  <si>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</si>
  <si>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</si>
  <si>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</si>
  <si>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</si>
  <si>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</si>
  <si>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</si>
  <si>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</si>
  <si>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</si>
  <si>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</si>
  <si>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</si>
  <si>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</si>
  <si>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</si>
  <si>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</si>
  <si>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</si>
  <si>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</si>
  <si>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</si>
  <si>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</si>
  <si>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</si>
  <si>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</si>
  <si>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</si>
  <si>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</si>
  <si>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</si>
  <si>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</si>
  <si>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</si>
  <si>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</si>
  <si>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</si>
  <si>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</si>
  <si>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</si>
  <si>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</si>
  <si>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</si>
  <si>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</si>
  <si>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</si>
  <si>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</si>
  <si>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</si>
  <si>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</si>
  <si>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</si>
  <si>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</si>
  <si>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</si>
  <si>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</si>
  <si>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</si>
  <si>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</si>
  <si>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</si>
  <si>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</si>
  <si>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</si>
  <si>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</si>
  <si>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</si>
  <si>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</si>
  <si>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</si>
  <si>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</si>
  <si>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</si>
  <si>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</si>
  <si>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</si>
  <si>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</si>
  <si>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</si>
  <si>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</si>
  <si>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</si>
  <si>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</si>
  <si>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</si>
  <si>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</si>
  <si>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</si>
  <si>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</si>
  <si>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</si>
  <si>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</si>
  <si>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</si>
  <si>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</si>
  <si>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</si>
  <si>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</si>
  <si>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</si>
  <si>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</si>
  <si>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</si>
  <si>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</si>
  <si>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</si>
  <si>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</si>
  <si>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</si>
  <si>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</si>
  <si>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</si>
  <si>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</si>
  <si>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</si>
  <si>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</si>
  <si>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</si>
  <si>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</si>
  <si>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</si>
  <si>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</si>
  <si>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</si>
  <si>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</si>
  <si>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</si>
  <si>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</si>
  <si>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</si>
  <si>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</si>
  <si>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</si>
  <si>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</si>
  <si>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</si>
  <si>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</si>
  <si>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</si>
  <si>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</si>
  <si>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</si>
  <si>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</si>
  <si>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</si>
  <si>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</si>
  <si>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</si>
  <si>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</si>
  <si>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</si>
  <si>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</si>
  <si>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</si>
  <si>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</si>
  <si>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</si>
  <si>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</si>
  <si>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</si>
  <si>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</si>
  <si>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</si>
  <si>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</si>
  <si>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</si>
  <si>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</si>
  <si>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</si>
  <si>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</si>
  <si>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</si>
  <si>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</si>
  <si>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</si>
  <si>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</si>
  <si>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</si>
  <si>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</si>
  <si>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</si>
  <si>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</si>
  <si>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</si>
  <si>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</si>
  <si>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</si>
  <si>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</si>
  <si>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</si>
  <si>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</si>
  <si>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</si>
  <si>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</si>
  <si>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</si>
  <si>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</si>
  <si>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</si>
  <si>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</si>
  <si>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</si>
  <si>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</si>
  <si>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</si>
  <si>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</si>
  <si>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</si>
  <si>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</si>
  <si>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</si>
  <si>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</si>
  <si>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</si>
  <si>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</si>
  <si>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</si>
  <si>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</si>
  <si>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</si>
  <si>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</si>
  <si>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</si>
  <si>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</si>
  <si>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</si>
  <si>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</si>
  <si>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</si>
  <si>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</si>
  <si>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</si>
  <si>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</si>
  <si>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</si>
  <si>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</si>
  <si>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</si>
  <si>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</si>
  <si>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</si>
  <si>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</si>
  <si>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</si>
  <si>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</si>
  <si>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</si>
  <si>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</si>
  <si>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</si>
  <si>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</si>
  <si>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</si>
  <si>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</si>
  <si>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</si>
  <si>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</si>
  <si>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</si>
  <si>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</si>
  <si>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</si>
  <si>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</si>
  <si>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</si>
  <si>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</si>
  <si>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</si>
  <si>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</si>
  <si>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</si>
  <si>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</si>
  <si>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</si>
  <si>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</si>
  <si>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</si>
  <si>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</si>
  <si>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</si>
  <si>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</si>
  <si>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</si>
  <si>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</si>
  <si>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</si>
  <si>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</si>
  <si>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</si>
  <si>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</si>
  <si>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</si>
  <si>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</si>
  <si>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</si>
  <si>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</si>
  <si>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</si>
  <si>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</si>
  <si>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</si>
  <si>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</si>
  <si>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</si>
  <si>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</si>
  <si>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</si>
  <si>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</si>
  <si>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</si>
  <si>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</si>
  <si>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</si>
  <si>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</si>
  <si>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</si>
  <si>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</si>
  <si>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</si>
  <si>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</si>
  <si>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</si>
  <si>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</si>
  <si>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</si>
  <si>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</si>
  <si>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</si>
  <si>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</si>
  <si>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</si>
  <si>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</si>
  <si>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</si>
  <si>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</si>
  <si>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</si>
  <si>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</si>
  <si>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</si>
  <si>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</si>
  <si>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</si>
  <si>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</si>
  <si>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</si>
  <si>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</si>
  <si>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</si>
  <si>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</si>
  <si>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</si>
  <si>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</si>
  <si>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</si>
  <si>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</si>
  <si>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</si>
  <si>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</si>
  <si>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</si>
  <si>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</si>
  <si>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</si>
  <si>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</si>
  <si>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</si>
  <si>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</si>
  <si>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</si>
  <si>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</si>
  <si>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</si>
  <si>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</si>
  <si>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</si>
  <si>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</si>
  <si>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</si>
  <si>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</si>
  <si>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</si>
  <si>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</si>
  <si>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</si>
  <si>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</si>
  <si>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</si>
  <si>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</si>
  <si>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</si>
  <si>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</si>
  <si>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</si>
  <si>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</si>
  <si>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</si>
  <si>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</si>
  <si>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</si>
  <si>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</si>
  <si>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</si>
  <si>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</si>
  <si>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</si>
  <si>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</si>
  <si>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</si>
  <si>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</si>
  <si>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</si>
  <si>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</si>
  <si>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</si>
  <si>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</si>
  <si>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</si>
  <si>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</si>
  <si>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</si>
  <si>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</si>
  <si>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</si>
  <si>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</si>
  <si>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</si>
  <si>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</si>
  <si>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</si>
  <si>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</si>
  <si>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</si>
  <si>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</si>
  <si>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</si>
  <si>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</si>
  <si>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</si>
  <si>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</si>
  <si>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</si>
  <si>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</si>
  <si>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</si>
  <si>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</si>
  <si>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</si>
  <si>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</si>
  <si>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</si>
  <si>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</si>
  <si>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</si>
  <si>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</si>
  <si>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</si>
  <si>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</si>
  <si>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</si>
  <si>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</si>
  <si>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</si>
  <si>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</si>
  <si>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</si>
  <si>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</si>
  <si>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</si>
  <si>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</si>
  <si>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</si>
  <si>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</si>
  <si>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</si>
  <si>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</si>
  <si>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</si>
  <si>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</si>
  <si>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</si>
  <si>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</si>
  <si>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</si>
  <si>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</si>
  <si>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</si>
  <si>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</si>
  <si>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</si>
  <si>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</si>
  <si>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</si>
  <si>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</si>
  <si>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</si>
  <si>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</si>
  <si>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</si>
  <si>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</si>
  <si>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</si>
  <si>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</si>
  <si>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</si>
  <si>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</si>
  <si>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</si>
  <si>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</si>
  <si>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</si>
  <si>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</si>
  <si>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</si>
  <si>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</si>
  <si>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</si>
  <si>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</si>
  <si>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</si>
  <si>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</si>
  <si>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</si>
  <si>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</si>
  <si>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</si>
  <si>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</si>
  <si>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</si>
  <si>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</si>
  <si>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</si>
  <si>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</si>
  <si>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</si>
  <si>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</si>
  <si>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</si>
  <si>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</si>
  <si>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</si>
  <si>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</si>
  <si>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</si>
  <si>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</si>
  <si>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</si>
  <si>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</si>
  <si>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</si>
  <si>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</si>
  <si>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</si>
  <si>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</si>
  <si>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</si>
  <si>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</si>
  <si>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</si>
  <si>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</si>
  <si>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</si>
  <si>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</si>
  <si>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</si>
  <si>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</si>
  <si>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</si>
  <si>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</si>
  <si>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</si>
  <si>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</si>
  <si>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</si>
  <si>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</si>
  <si>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</si>
  <si>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</si>
  <si>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</si>
  <si>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</si>
  <si>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</si>
  <si>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</si>
  <si>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</si>
  <si>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</si>
  <si>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</si>
  <si>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</si>
  <si>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</si>
  <si>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</si>
  <si>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</si>
  <si>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</si>
  <si>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</si>
  <si>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</si>
  <si>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</si>
  <si>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</si>
  <si>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</si>
  <si>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</si>
  <si>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</si>
  <si>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</si>
  <si>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</si>
  <si>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</si>
  <si>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</si>
  <si>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</si>
  <si>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</si>
  <si>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</si>
  <si>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</si>
  <si>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</si>
  <si>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</si>
  <si>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</si>
  <si>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</si>
  <si>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</si>
  <si>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</si>
  <si>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</si>
  <si>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</si>
  <si>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</si>
  <si>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</si>
  <si>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</si>
  <si>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</si>
  <si>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</si>
  <si>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</si>
  <si>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</si>
  <si>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</si>
  <si>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</si>
  <si>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</si>
  <si>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</si>
  <si>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</si>
  <si>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</si>
  <si>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</si>
  <si>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</si>
  <si>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</si>
  <si>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</si>
  <si>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</si>
  <si>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</si>
  <si>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</si>
  <si>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</si>
  <si>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</si>
  <si>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</si>
  <si>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</si>
  <si>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</si>
  <si>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</si>
  <si>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</si>
  <si>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</si>
  <si>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</si>
  <si>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</si>
  <si>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</si>
  <si>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</si>
  <si>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</si>
  <si>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</si>
  <si>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</si>
  <si>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</si>
  <si>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</si>
  <si>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</si>
  <si>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</si>
  <si>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</si>
  <si>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</si>
  <si>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</si>
  <si>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</si>
  <si>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</si>
  <si>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</si>
  <si>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</si>
  <si>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</si>
  <si>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</si>
  <si>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</si>
  <si>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</si>
  <si>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</si>
  <si>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</si>
  <si>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</si>
  <si>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</si>
  <si>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</si>
  <si>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</si>
  <si>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</si>
  <si>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</si>
  <si>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</si>
  <si>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</si>
  <si>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</si>
  <si>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</si>
  <si>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</si>
  <si>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</si>
  <si>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</si>
  <si>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</si>
  <si>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</si>
  <si>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</si>
  <si>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</si>
  <si>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</si>
  <si>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</si>
  <si>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</si>
  <si>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</si>
  <si>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</si>
  <si>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</si>
  <si>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</si>
  <si>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</si>
  <si>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</si>
  <si>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</si>
  <si>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</si>
  <si>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</si>
  <si>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</si>
  <si>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</si>
  <si>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</si>
  <si>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</si>
  <si>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</si>
  <si>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</si>
  <si>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</si>
  <si>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</si>
  <si>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</si>
  <si>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</si>
  <si>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</si>
  <si>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</si>
  <si>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</si>
  <si>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</si>
  <si>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</si>
  <si>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</si>
  <si>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</si>
  <si>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</si>
  <si>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</si>
  <si>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</si>
  <si>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</si>
  <si>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</si>
  <si>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</si>
  <si>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</si>
  <si>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</si>
  <si>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</si>
  <si>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</si>
  <si>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</si>
  <si>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</si>
  <si>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</si>
  <si>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</si>
  <si>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</si>
  <si>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</si>
  <si>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</si>
  <si>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</si>
  <si>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</si>
  <si>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</si>
  <si>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</si>
  <si>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</si>
  <si>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</si>
  <si>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</si>
  <si>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</si>
  <si>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</si>
  <si>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</si>
  <si>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</si>
  <si>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</si>
  <si>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</si>
  <si>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</si>
  <si>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</si>
  <si>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</si>
  <si>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</si>
  <si>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</si>
  <si>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</si>
  <si>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</si>
  <si>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</si>
  <si>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</si>
  <si>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</si>
  <si>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</si>
  <si>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</si>
  <si>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</si>
  <si>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</si>
  <si>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</si>
  <si>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</si>
  <si>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</si>
  <si>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</si>
  <si>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</si>
  <si>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</si>
  <si>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</si>
  <si>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</si>
  <si>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</si>
  <si>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</si>
  <si>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</si>
  <si>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</si>
  <si>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</si>
  <si>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</si>
  <si>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</si>
  <si>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</si>
  <si>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</si>
  <si>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</si>
  <si>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</si>
  <si>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</si>
  <si>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</si>
  <si>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</si>
  <si>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</si>
  <si>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</si>
  <si>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</si>
  <si>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</si>
  <si>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</si>
  <si>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</si>
  <si>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</si>
  <si>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</si>
  <si>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</si>
  <si>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</si>
  <si>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</si>
  <si>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</si>
  <si>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</si>
  <si>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</si>
  <si>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</si>
  <si>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</si>
  <si>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</si>
  <si>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</si>
  <si>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</si>
  <si>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</si>
  <si>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</si>
  <si>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</si>
  <si>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</si>
  <si>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</si>
  <si>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</si>
  <si>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</si>
  <si>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</si>
  <si>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</si>
  <si>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</si>
  <si>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</si>
  <si>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</si>
  <si>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</si>
  <si>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</si>
  <si>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</si>
  <si>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</si>
  <si>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</si>
  <si>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</si>
  <si>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</si>
  <si>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</si>
  <si>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</si>
  <si>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</si>
  <si>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</si>
  <si>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</si>
  <si>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</si>
  <si>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</si>
  <si>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</si>
  <si>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</si>
  <si>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</si>
  <si>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</si>
  <si>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</si>
  <si>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</si>
  <si>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</si>
  <si>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</si>
  <si>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</si>
  <si>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</si>
  <si>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</si>
  <si>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</si>
  <si>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</si>
  <si>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</si>
  <si>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</si>
  <si>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</si>
  <si>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</si>
  <si>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</si>
  <si>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</si>
  <si>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</si>
  <si>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</si>
  <si>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</si>
  <si>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</si>
  <si>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</si>
  <si>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</si>
  <si>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</si>
  <si>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</si>
  <si>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</si>
  <si>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</si>
  <si>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</si>
  <si>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</si>
  <si>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</si>
  <si>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</si>
  <si>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</si>
  <si>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</si>
  <si>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</si>
  <si>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</si>
  <si>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</si>
  <si>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</si>
  <si>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</si>
  <si>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</si>
  <si>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</si>
  <si>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</si>
  <si>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</si>
  <si>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</si>
  <si>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</si>
  <si>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</si>
  <si>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</si>
  <si>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</si>
  <si>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</si>
  <si>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</si>
  <si>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</si>
  <si>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</si>
  <si>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</si>
  <si>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</si>
  <si>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</si>
  <si>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</si>
  <si>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</si>
  <si>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</si>
  <si>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</si>
  <si>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</si>
  <si>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</si>
  <si>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</si>
  <si>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</si>
  <si>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</si>
  <si>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</si>
  <si>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</si>
  <si>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</si>
  <si>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</si>
  <si>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</si>
  <si>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</si>
  <si>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</si>
  <si>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</si>
  <si>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</si>
  <si>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</si>
  <si>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</si>
  <si>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</si>
  <si>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</si>
  <si>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</si>
  <si>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</si>
  <si>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</si>
  <si>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</si>
  <si>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</si>
  <si>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</si>
  <si>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</si>
  <si>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</si>
  <si>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</si>
  <si>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</si>
  <si>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</si>
  <si>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</si>
  <si>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</si>
  <si>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</si>
  <si>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</si>
  <si>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</si>
  <si>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</si>
  <si>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</si>
  <si>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</si>
  <si>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</si>
  <si>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</si>
  <si>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</si>
  <si>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</si>
  <si>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</si>
  <si>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</si>
  <si>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</si>
  <si>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</si>
  <si>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</si>
  <si>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</si>
  <si>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</si>
  <si>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</si>
  <si>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</si>
  <si>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</si>
  <si>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</si>
  <si>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</si>
  <si>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</si>
  <si>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</si>
  <si>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</si>
  <si>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</si>
  <si>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</si>
  <si>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</si>
  <si>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</si>
  <si>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</si>
  <si>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</si>
  <si>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</si>
  <si>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</si>
  <si>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</si>
  <si>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</si>
  <si>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</si>
  <si>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</si>
  <si>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</si>
  <si>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</si>
  <si>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</si>
  <si>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</si>
  <si>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</si>
  <si>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</si>
  <si>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</si>
  <si>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</si>
  <si>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</si>
  <si>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</si>
  <si>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</si>
  <si>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</si>
  <si>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</si>
  <si>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</si>
  <si>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</si>
  <si>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</si>
  <si>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</si>
  <si>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</si>
  <si>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</si>
  <si>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</si>
  <si>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</si>
  <si>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</si>
  <si>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</si>
  <si>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</si>
  <si>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</si>
  <si>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</si>
  <si>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</si>
  <si>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</si>
  <si>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</si>
  <si>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</si>
  <si>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</si>
  <si>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</si>
  <si>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</si>
  <si>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</si>
  <si>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</si>
  <si>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</si>
  <si>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</si>
  <si>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</si>
  <si>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</si>
  <si>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</si>
  <si>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</si>
  <si>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</si>
  <si>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</si>
  <si>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</si>
  <si>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</si>
  <si>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</si>
  <si>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</si>
  <si>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</si>
  <si>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</si>
  <si>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</si>
  <si>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</si>
  <si>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</si>
  <si>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</si>
  <si>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</si>
  <si>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</si>
  <si>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</si>
  <si>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</si>
  <si>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</si>
  <si>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</si>
  <si>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</si>
  <si>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</si>
  <si>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</si>
  <si>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</si>
  <si>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</si>
  <si>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</si>
  <si>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</si>
  <si>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</si>
  <si>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</si>
  <si>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</si>
  <si>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</si>
  <si>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</si>
  <si>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</si>
  <si>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</si>
  <si>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</si>
  <si>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</si>
  <si>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</si>
  <si>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</si>
  <si>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</si>
  <si>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</si>
  <si>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</si>
  <si>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</si>
  <si>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</si>
  <si>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</si>
  <si>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</si>
  <si>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</si>
  <si>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</si>
  <si>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</si>
  <si>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</si>
  <si>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</si>
  <si>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</si>
  <si>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</si>
  <si>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</si>
  <si>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</si>
  <si>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</si>
  <si>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</si>
  <si>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</si>
  <si>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</si>
  <si>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</si>
  <si>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</si>
  <si>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</si>
  <si>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</si>
  <si>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</si>
  <si>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</si>
  <si>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</si>
  <si>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</si>
  <si>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</si>
  <si>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</si>
  <si>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</si>
  <si>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</si>
  <si>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</si>
  <si>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</si>
  <si>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</si>
  <si>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</si>
  <si>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</si>
  <si>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</si>
  <si>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</si>
  <si>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</si>
  <si>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</si>
  <si>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</si>
  <si>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</si>
  <si>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</si>
  <si>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</si>
  <si>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</si>
  <si>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</si>
  <si>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</si>
  <si>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</si>
  <si>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</si>
  <si>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</si>
  <si>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</si>
  <si>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</si>
  <si>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</si>
  <si>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</si>
  <si>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</si>
  <si>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</si>
  <si>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</si>
  <si>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</si>
  <si>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</si>
  <si>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</si>
  <si>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</si>
  <si>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</si>
  <si>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</si>
  <si>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</si>
  <si>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</si>
  <si>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</si>
  <si>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</si>
  <si>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</si>
  <si>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</si>
  <si>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</si>
  <si>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</si>
  <si>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</si>
  <si>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</si>
  <si>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</si>
  <si>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</si>
  <si>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</si>
  <si>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</si>
  <si>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</si>
  <si>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</si>
  <si>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</si>
  <si>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</si>
  <si>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</si>
  <si>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</si>
  <si>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</si>
  <si>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</si>
  <si>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</si>
  <si>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</si>
  <si>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</si>
  <si>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</si>
  <si>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</si>
  <si>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</si>
  <si>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</si>
  <si>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</si>
  <si>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</si>
  <si>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</si>
  <si>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</si>
  <si>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</si>
  <si>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</si>
  <si>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</si>
  <si>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</si>
  <si>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</si>
  <si>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</si>
  <si>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</si>
  <si>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</si>
  <si>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</si>
  <si>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</si>
  <si>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</si>
  <si>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</si>
  <si>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</si>
  <si>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</si>
  <si>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</si>
  <si>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</si>
  <si>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</si>
  <si>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</si>
  <si>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</si>
  <si>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</si>
  <si>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</si>
  <si>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</si>
  <si>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</si>
  <si>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</si>
  <si>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</si>
  <si>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</si>
  <si>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</si>
  <si>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</si>
  <si>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</si>
  <si>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</si>
  <si>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</si>
  <si>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</si>
  <si>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</si>
  <si>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</si>
  <si>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</si>
  <si>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</si>
  <si>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</si>
  <si>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</si>
  <si>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</si>
  <si>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</si>
  <si>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</si>
  <si>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</si>
  <si>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</si>
  <si>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</si>
  <si>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</si>
  <si>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</si>
  <si>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</si>
  <si>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</si>
  <si>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</si>
  <si>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</si>
  <si>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</si>
  <si>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</si>
  <si>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</si>
  <si>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</si>
  <si>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</si>
  <si>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</si>
  <si>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</si>
  <si>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</si>
  <si>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</si>
  <si>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</si>
  <si>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</si>
  <si>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</si>
  <si>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</si>
  <si>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</si>
  <si>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</si>
  <si>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</si>
  <si>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</si>
  <si>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</si>
  <si>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</si>
  <si>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</si>
  <si>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</si>
  <si>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</si>
  <si>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</si>
  <si>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</si>
  <si>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</si>
  <si>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</si>
  <si>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</si>
  <si>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</si>
  <si>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</si>
  <si>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</si>
  <si>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</si>
  <si>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</si>
  <si>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</si>
  <si>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</si>
  <si>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</si>
  <si>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</si>
  <si>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</si>
  <si>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</si>
  <si>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</si>
  <si>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</si>
  <si>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</si>
  <si>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</si>
  <si>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</si>
  <si>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</si>
  <si>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</si>
  <si>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</si>
  <si>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</si>
  <si>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</si>
  <si>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</si>
  <si>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</si>
  <si>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</si>
  <si>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</si>
  <si>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</si>
  <si>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</si>
  <si>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</si>
  <si>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</si>
  <si>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</si>
  <si>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</si>
  <si>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</si>
  <si>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</si>
  <si>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</si>
  <si>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</si>
  <si>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</si>
  <si>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</si>
  <si>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</si>
  <si>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</si>
  <si>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</si>
  <si>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</si>
  <si>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</si>
  <si>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</si>
  <si>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</si>
  <si>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</si>
  <si>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</si>
  <si>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</si>
  <si>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</si>
  <si>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</si>
  <si>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</si>
  <si>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</si>
  <si>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</si>
  <si>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</si>
  <si>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</si>
  <si>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</si>
  <si>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</si>
  <si>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</si>
  <si>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</si>
  <si>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</si>
  <si>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</si>
  <si>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</si>
  <si>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</si>
  <si>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</si>
  <si>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</si>
  <si>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</si>
  <si>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</si>
  <si>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</si>
  <si>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</si>
  <si>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</si>
  <si>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</si>
  <si>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</si>
  <si>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</si>
  <si>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</si>
  <si>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</si>
  <si>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</si>
  <si>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</si>
  <si>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</si>
  <si>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</si>
  <si>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</si>
  <si>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</si>
  <si>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</si>
  <si>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</si>
  <si>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</si>
  <si>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</si>
  <si>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</si>
  <si>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</si>
  <si>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</si>
  <si>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</si>
  <si>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</si>
  <si>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</si>
  <si>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</si>
  <si>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</si>
  <si>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</si>
  <si>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</si>
  <si>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</si>
  <si>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</si>
  <si>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</si>
  <si>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</si>
  <si>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</si>
  <si>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</si>
  <si>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</si>
  <si>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</si>
  <si>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</si>
  <si>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</si>
  <si>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</si>
  <si>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</si>
  <si>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</si>
  <si>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</si>
  <si>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</si>
  <si>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</si>
  <si>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</si>
  <si>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</si>
  <si>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</si>
  <si>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</si>
  <si>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</si>
  <si>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</si>
  <si>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</si>
  <si>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</si>
  <si>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</si>
  <si>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</si>
  <si>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</si>
  <si>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</si>
  <si>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</si>
  <si>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</si>
  <si>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</si>
  <si>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</si>
  <si>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</si>
  <si>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</si>
  <si>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</si>
  <si>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</si>
  <si>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</si>
  <si>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</si>
  <si>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</si>
  <si>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</si>
  <si>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</si>
  <si>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</si>
  <si>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</si>
  <si>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</si>
  <si>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</si>
  <si>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</si>
  <si>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</si>
  <si>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</si>
  <si>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</si>
  <si>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</si>
  <si>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</si>
  <si>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</si>
  <si>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</si>
  <si>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</si>
  <si>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</si>
  <si>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</si>
  <si>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</si>
  <si>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</si>
  <si>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</si>
  <si>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</si>
  <si>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</si>
  <si>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</si>
  <si>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</si>
  <si>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</si>
  <si>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</si>
  <si>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</si>
  <si>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</si>
  <si>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</si>
  <si>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</si>
  <si>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</si>
  <si>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</si>
  <si>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</si>
  <si>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</si>
  <si>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</si>
  <si>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</si>
  <si>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</si>
  <si>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</si>
  <si>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</si>
  <si>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</si>
  <si>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</si>
  <si>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</si>
  <si>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</si>
  <si>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</si>
  <si>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</si>
  <si>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</si>
  <si>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</si>
  <si>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</si>
  <si>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</si>
  <si>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</si>
  <si>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</si>
  <si>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</si>
  <si>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</si>
  <si>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</si>
  <si>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</si>
  <si>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</si>
  <si>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</si>
  <si>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</si>
  <si>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</si>
  <si>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</si>
  <si>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</si>
  <si>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</si>
  <si>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</si>
  <si>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</si>
  <si>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</si>
  <si>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</si>
  <si>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</si>
  <si>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</si>
  <si>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</si>
  <si>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</si>
  <si>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</si>
  <si>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</si>
  <si>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</si>
  <si>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</si>
  <si>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</si>
  <si>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</si>
  <si>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</si>
  <si>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</si>
  <si>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</si>
  <si>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</si>
  <si>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</si>
  <si>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</si>
  <si>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</si>
  <si>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</si>
  <si>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</si>
  <si>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</si>
  <si>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</si>
  <si>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</si>
  <si>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</si>
  <si>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</si>
  <si>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</si>
  <si>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</si>
  <si>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</si>
  <si>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</si>
  <si>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</si>
  <si>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</si>
  <si>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</si>
  <si>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</si>
  <si>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</si>
  <si>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</si>
  <si>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</si>
  <si>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</si>
  <si>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</si>
  <si>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</si>
  <si>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</si>
  <si>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</si>
  <si>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</si>
  <si>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</si>
  <si>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</si>
  <si>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</si>
  <si>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</si>
  <si>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</si>
  <si>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</si>
  <si>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</si>
  <si>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</si>
  <si>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</si>
  <si>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</si>
  <si>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</si>
  <si>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</si>
  <si>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</si>
  <si>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</si>
  <si>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</si>
  <si>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</si>
  <si>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</si>
  <si>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</si>
  <si>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</si>
  <si>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</si>
  <si>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</si>
  <si>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</si>
  <si>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</si>
  <si>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</si>
  <si>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</si>
  <si>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</si>
  <si>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</si>
  <si>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</si>
  <si>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</si>
  <si>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</si>
  <si>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</si>
  <si>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</si>
  <si>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</si>
  <si>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</si>
  <si>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</si>
  <si>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</si>
  <si>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</si>
  <si>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</si>
  <si>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</si>
  <si>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</si>
  <si>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</si>
  <si>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</si>
  <si>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</si>
  <si>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</si>
  <si>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</si>
  <si>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</si>
  <si>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</si>
  <si>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</si>
  <si>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</si>
  <si>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</si>
  <si>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</si>
  <si>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</si>
  <si>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</si>
  <si>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</si>
  <si>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</si>
  <si>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</si>
  <si>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</si>
  <si>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</si>
  <si>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</si>
  <si>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</si>
  <si>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</si>
  <si>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</si>
  <si>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</si>
  <si>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</si>
  <si>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</si>
  <si>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</si>
  <si>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</si>
  <si>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</si>
  <si>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</si>
  <si>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</si>
  <si>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</si>
  <si>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</si>
  <si>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</si>
  <si>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</si>
  <si>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</si>
  <si>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</si>
  <si>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</si>
  <si>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</si>
  <si>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</si>
  <si>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</si>
  <si>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</si>
  <si>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</si>
  <si>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</si>
  <si>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</si>
  <si>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</si>
  <si>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</si>
  <si>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</si>
  <si>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</si>
  <si>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</si>
  <si>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</si>
  <si>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</si>
  <si>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</si>
  <si>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</si>
  <si>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</si>
  <si>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</si>
  <si>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</si>
  <si>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</si>
  <si>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</si>
  <si>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</si>
  <si>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</si>
  <si>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</si>
  <si>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</si>
  <si>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</si>
  <si>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</si>
  <si>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</si>
  <si>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</si>
  <si>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</si>
  <si>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</si>
  <si>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</si>
  <si>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</si>
  <si>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</si>
  <si>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</si>
  <si>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</si>
  <si>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</si>
  <si>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</si>
  <si>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</si>
  <si>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</si>
  <si>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</si>
  <si>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</si>
  <si>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</si>
  <si>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</si>
  <si>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</si>
  <si>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</si>
  <si>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</si>
  <si>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</si>
  <si>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</si>
  <si>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</si>
  <si>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</si>
  <si>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</si>
  <si>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</si>
  <si>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</si>
  <si>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</si>
  <si>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</si>
  <si>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</si>
  <si>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</si>
  <si>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</si>
  <si>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</si>
  <si>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</si>
  <si>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</si>
  <si>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</si>
  <si>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</si>
  <si>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</si>
  <si>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</si>
  <si>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</si>
  <si>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</si>
  <si>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</si>
  <si>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</si>
  <si>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</si>
  <si>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</si>
  <si>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</si>
  <si>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</si>
  <si>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</si>
  <si>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</si>
  <si>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</si>
  <si>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</si>
  <si>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</si>
  <si>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</si>
  <si>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</si>
  <si>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</si>
  <si>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</si>
  <si>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</si>
  <si>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</si>
  <si>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</si>
  <si>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</si>
  <si>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</si>
  <si>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</si>
  <si>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</si>
  <si>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</si>
  <si>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</si>
  <si>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</si>
  <si>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</si>
  <si>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</si>
  <si>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</si>
  <si>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</si>
  <si>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</si>
  <si>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</si>
  <si>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</si>
  <si>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</si>
  <si>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</si>
  <si>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</si>
  <si>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</si>
  <si>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</si>
  <si>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</si>
  <si>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</si>
  <si>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</si>
  <si>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</si>
  <si>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</si>
  <si>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</si>
  <si>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</si>
  <si>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</si>
  <si>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</si>
  <si>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</si>
  <si>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</si>
  <si>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</si>
  <si>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</si>
  <si>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</si>
  <si>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</si>
  <si>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</si>
  <si>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</si>
  <si>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</si>
  <si>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</si>
  <si>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</si>
  <si>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</si>
  <si>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</si>
  <si>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</si>
  <si>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</si>
  <si>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</si>
  <si>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</si>
  <si>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</si>
  <si>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</si>
  <si>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</si>
  <si>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</si>
  <si>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</si>
  <si>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</si>
  <si>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</si>
  <si>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</si>
  <si>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</si>
  <si>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</si>
  <si>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</si>
  <si>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</si>
  <si>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</si>
  <si>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</si>
  <si>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</si>
  <si>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</si>
  <si>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</si>
  <si>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</si>
  <si>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</si>
  <si>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</si>
  <si>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</si>
  <si>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</si>
  <si>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</si>
  <si>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</si>
  <si>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</si>
  <si>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</si>
  <si>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</si>
  <si>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</si>
  <si>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</si>
  <si>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</si>
  <si>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</si>
  <si>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</si>
  <si>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</si>
  <si>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</si>
  <si>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</si>
  <si>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</si>
  <si>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</si>
  <si>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</si>
  <si>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</si>
  <si>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</si>
  <si>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</si>
  <si>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</si>
  <si>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</si>
  <si>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</si>
  <si>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</si>
  <si>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</si>
  <si>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</si>
  <si>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</si>
  <si>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</si>
  <si>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</si>
  <si>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</si>
  <si>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</si>
  <si>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</si>
  <si>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</si>
  <si>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</si>
  <si>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</si>
  <si>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</si>
  <si>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</si>
  <si>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</si>
  <si>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</si>
  <si>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</si>
  <si>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</si>
  <si>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</si>
  <si>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</si>
  <si>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</si>
  <si>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</si>
  <si>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</si>
  <si>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</si>
  <si>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</si>
  <si>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</si>
  <si>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</si>
  <si>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</si>
  <si>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</si>
  <si>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</si>
  <si>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</si>
  <si>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</si>
  <si>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</si>
  <si>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</si>
  <si>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</si>
  <si>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</si>
  <si>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</si>
  <si>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</si>
  <si>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</si>
  <si>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</si>
  <si>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</si>
  <si>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</si>
  <si>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</si>
  <si>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</si>
  <si>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</si>
  <si>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</si>
  <si>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</si>
  <si>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</si>
  <si>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</si>
  <si>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</si>
  <si>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</si>
  <si>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</si>
  <si>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</si>
  <si>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</si>
  <si>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</si>
  <si>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</si>
  <si>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</si>
  <si>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</si>
  <si>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</si>
  <si>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</si>
  <si>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</si>
  <si>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</si>
  <si>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</si>
  <si>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</si>
  <si>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</si>
  <si>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</si>
  <si>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</si>
  <si>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</si>
  <si>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</si>
  <si>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</si>
  <si>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</si>
  <si>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</si>
  <si>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</si>
  <si>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</si>
  <si>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</si>
  <si>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</si>
  <si>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</si>
  <si>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</si>
  <si>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</si>
  <si>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</si>
  <si>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</si>
  <si>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</si>
  <si>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</si>
  <si>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</si>
  <si>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</si>
  <si>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</si>
  <si>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</si>
  <si>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</si>
  <si>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</si>
  <si>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</si>
  <si>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</si>
  <si>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</si>
  <si>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</si>
  <si>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</si>
  <si>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</si>
  <si>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</si>
  <si>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</si>
  <si>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</si>
  <si>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</si>
  <si>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</si>
  <si>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</si>
  <si>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</si>
  <si>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</si>
  <si>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</si>
  <si>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</si>
  <si>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</si>
  <si>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</si>
  <si>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</si>
  <si>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</si>
  <si>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</si>
  <si>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</si>
  <si>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</si>
  <si>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</si>
  <si>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</si>
  <si>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</si>
  <si>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</si>
  <si>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</si>
  <si>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</si>
  <si>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</si>
  <si>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</si>
  <si>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</si>
  <si>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</si>
  <si>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</si>
  <si>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</si>
  <si>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</si>
  <si>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</si>
  <si>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</si>
  <si>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</si>
  <si>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</si>
  <si>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</si>
  <si>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</si>
  <si>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</si>
  <si>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</si>
  <si>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</si>
  <si>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</si>
  <si>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</si>
  <si>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</si>
  <si>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</si>
  <si>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</si>
  <si>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</si>
  <si>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</si>
  <si>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</si>
  <si>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</si>
  <si>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</si>
  <si>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</si>
  <si>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</si>
  <si>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</si>
  <si>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</si>
  <si>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</si>
  <si>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</si>
  <si>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</si>
  <si>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</si>
  <si>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</si>
  <si>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</si>
  <si>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</si>
  <si>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</si>
  <si>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</si>
  <si>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</si>
  <si>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</si>
  <si>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</si>
  <si>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</si>
  <si>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</si>
  <si>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</si>
  <si>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</si>
  <si>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</si>
  <si>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</si>
  <si>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</si>
  <si>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</si>
  <si>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</si>
  <si>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</si>
  <si>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</si>
  <si>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</si>
  <si>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</si>
  <si>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</si>
  <si>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</si>
  <si>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</si>
  <si>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</si>
  <si>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</si>
  <si>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</si>
  <si>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</si>
  <si>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</si>
  <si>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</si>
  <si>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</si>
  <si>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</si>
  <si>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</si>
  <si>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</si>
  <si>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</si>
  <si>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</si>
  <si>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</si>
  <si>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</si>
  <si>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</si>
  <si>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</si>
  <si>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</si>
  <si>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</si>
  <si>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</si>
  <si>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</si>
  <si>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</si>
  <si>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</si>
  <si>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</si>
  <si>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</si>
  <si>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</si>
  <si>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</si>
  <si>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</si>
  <si>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</si>
  <si>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</si>
  <si>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</si>
  <si>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</si>
  <si>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</si>
  <si>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</si>
  <si>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</si>
  <si>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</si>
  <si>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</si>
  <si>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</si>
  <si>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</si>
  <si>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</si>
  <si>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</si>
  <si>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</si>
  <si>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</si>
  <si>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</si>
  <si>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</si>
  <si>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</si>
  <si>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</si>
  <si>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</si>
  <si>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</si>
  <si>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</si>
  <si>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</si>
  <si>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</si>
  <si>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</si>
  <si>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</si>
  <si>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</si>
  <si>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</si>
  <si>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</si>
  <si>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</si>
  <si>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</si>
  <si>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</si>
  <si>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</si>
  <si>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</si>
  <si>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</si>
  <si>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</si>
  <si>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</si>
  <si>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</si>
  <si>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</si>
  <si>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</si>
  <si>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</si>
  <si>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</si>
  <si>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</si>
  <si>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</si>
  <si>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</si>
  <si>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</si>
  <si>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</si>
  <si>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</si>
  <si>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</si>
  <si>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</si>
  <si>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</si>
  <si>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</si>
  <si>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</si>
  <si>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</si>
  <si>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</si>
  <si>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</si>
  <si>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</si>
  <si>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</si>
  <si>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</si>
  <si>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</si>
  <si>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</si>
  <si>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</si>
  <si>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</si>
  <si>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</si>
  <si>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</si>
  <si>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</si>
  <si>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</si>
  <si>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</si>
  <si>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</si>
  <si>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</si>
  <si>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</si>
  <si>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</si>
  <si>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</si>
  <si>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</si>
  <si>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</si>
  <si>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</si>
  <si>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</si>
  <si>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</si>
  <si>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</si>
  <si>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</si>
  <si>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</si>
  <si>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</si>
  <si>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</si>
  <si>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</si>
  <si>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</si>
  <si>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</si>
  <si>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</si>
  <si>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</si>
  <si>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</si>
  <si>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</si>
  <si>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</si>
  <si>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</si>
  <si>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</si>
  <si>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</si>
  <si>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</si>
  <si>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</si>
  <si>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</si>
  <si>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</si>
  <si>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</si>
  <si>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</si>
  <si>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</si>
  <si>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</si>
  <si>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</si>
  <si>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</si>
  <si>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</si>
  <si>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</si>
  <si>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</si>
  <si>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</si>
  <si>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</si>
  <si>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</si>
  <si>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</si>
  <si>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</si>
  <si>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</si>
  <si>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</si>
  <si>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</si>
  <si>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</si>
  <si>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</si>
  <si>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</si>
  <si>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</si>
  <si>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</si>
  <si>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</si>
  <si>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</si>
  <si>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</si>
  <si>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</si>
  <si>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</si>
  <si>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</si>
  <si>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</si>
  <si>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</si>
  <si>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</si>
  <si>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</si>
  <si>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</si>
  <si>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</si>
  <si>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</si>
  <si>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</si>
  <si>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</si>
  <si>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</si>
  <si>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</si>
  <si>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</si>
  <si>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</si>
  <si>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</si>
  <si>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</si>
  <si>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</si>
  <si>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</si>
  <si>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</si>
  <si>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</si>
  <si>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</si>
  <si>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</si>
  <si>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</si>
  <si>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</si>
  <si>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</si>
  <si>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</si>
  <si>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</si>
  <si>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</si>
  <si>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</si>
  <si>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</si>
  <si>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</si>
  <si>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</si>
  <si>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</si>
  <si>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</si>
  <si>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</si>
  <si>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</si>
  <si>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</si>
  <si>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</si>
  <si>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</si>
  <si>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</si>
  <si>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</si>
  <si>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</si>
  <si>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</si>
  <si>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</si>
  <si>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</si>
  <si>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</si>
  <si>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</si>
  <si>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</si>
  <si>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</si>
  <si>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</si>
  <si>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</si>
  <si>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</si>
  <si>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</si>
  <si>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</si>
  <si>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</si>
  <si>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</si>
  <si>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</si>
  <si>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</si>
  <si>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</si>
  <si>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</si>
  <si>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</si>
  <si>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</si>
  <si>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</si>
  <si>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</si>
  <si>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</si>
  <si>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</si>
  <si>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</si>
  <si>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</si>
  <si>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</si>
  <si>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</si>
  <si>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</si>
  <si>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</si>
  <si>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</si>
  <si>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</si>
  <si>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</si>
  <si>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</si>
  <si>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</si>
  <si>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</si>
  <si>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</si>
  <si>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</si>
  <si>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</si>
  <si>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</si>
  <si>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</si>
  <si>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</si>
  <si>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</si>
  <si>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</si>
  <si>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</si>
  <si>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</si>
  <si>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</si>
  <si>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</si>
  <si>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</si>
  <si>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</si>
  <si>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</si>
  <si>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</si>
  <si>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</si>
  <si>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</si>
  <si>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</si>
  <si>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</si>
  <si>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</si>
  <si>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</si>
  <si>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</si>
  <si>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</si>
  <si>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</si>
  <si>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</si>
  <si>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</si>
  <si>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</si>
  <si>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</si>
  <si>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</si>
  <si>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</si>
  <si>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</si>
  <si>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</si>
  <si>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</si>
  <si>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</si>
  <si>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</si>
  <si>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</si>
  <si>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</si>
  <si>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</si>
  <si>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</si>
  <si>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</si>
  <si>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</si>
  <si>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</si>
  <si>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</si>
  <si>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</si>
  <si>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</si>
  <si>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</si>
  <si>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</si>
  <si>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</si>
  <si>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</si>
  <si>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</si>
  <si>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</si>
  <si>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</si>
  <si>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</si>
  <si>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</si>
  <si>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</si>
  <si>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</si>
  <si>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</si>
  <si>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</si>
  <si>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</si>
  <si>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</si>
  <si>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</si>
  <si>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</si>
  <si>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</si>
  <si>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</si>
  <si>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</si>
  <si>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</si>
  <si>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</si>
  <si>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</si>
  <si>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</si>
  <si>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</si>
  <si>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</si>
  <si>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</si>
  <si>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</si>
  <si>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</si>
  <si>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</si>
  <si>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</si>
  <si>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</si>
  <si>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</si>
  <si>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</si>
  <si>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</si>
  <si>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</si>
  <si>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</si>
  <si>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</si>
  <si>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</si>
  <si>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</si>
  <si>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</si>
  <si>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</si>
  <si>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</si>
  <si>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</si>
  <si>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</si>
  <si>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</si>
  <si>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</si>
  <si>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</si>
  <si>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</si>
  <si>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</si>
  <si>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</si>
  <si>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</si>
  <si>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</si>
  <si>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</si>
  <si>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</si>
  <si>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</si>
  <si>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</si>
  <si>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</si>
  <si>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</si>
  <si>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</si>
  <si>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</si>
  <si>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</si>
  <si>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</si>
  <si>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</si>
  <si>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</si>
  <si>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</si>
  <si>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</si>
  <si>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</si>
  <si>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</si>
  <si>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</si>
  <si>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</si>
  <si>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</si>
  <si>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</si>
  <si>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</si>
  <si>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</si>
  <si>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</si>
  <si>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</si>
  <si>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</si>
  <si>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</si>
  <si>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</si>
  <si>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</si>
  <si>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</si>
  <si>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</si>
  <si>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</si>
  <si>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</si>
  <si>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</si>
  <si>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</si>
  <si>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</si>
  <si>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</si>
  <si>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</si>
  <si>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</si>
  <si>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</si>
  <si>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</si>
  <si>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</si>
  <si>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</si>
  <si>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</si>
  <si>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</si>
  <si>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</si>
  <si>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</si>
  <si>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</si>
  <si>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</si>
  <si>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</si>
  <si>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</si>
  <si>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</si>
  <si>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</si>
  <si>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</si>
  <si>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</si>
  <si>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</si>
  <si>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</si>
  <si>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</si>
  <si>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</si>
  <si>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</si>
  <si>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</si>
  <si>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</si>
  <si>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</si>
  <si>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</si>
  <si>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</si>
  <si>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</si>
  <si>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</si>
  <si>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</si>
  <si>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</si>
  <si>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</si>
  <si>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</si>
  <si>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</si>
  <si>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</si>
  <si>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</si>
  <si>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</si>
  <si>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</si>
  <si>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</si>
  <si>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</si>
  <si>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</si>
  <si>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</si>
  <si>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</si>
  <si>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</si>
  <si>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</si>
  <si>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</si>
  <si>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</si>
  <si>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</si>
  <si>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</si>
  <si>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</si>
  <si>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</si>
  <si>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</si>
  <si>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</si>
  <si>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</si>
  <si>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</si>
  <si>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</si>
  <si>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</si>
  <si>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</si>
  <si>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</si>
  <si>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</si>
  <si>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</si>
  <si>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</si>
  <si>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</si>
  <si>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</si>
  <si>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</si>
  <si>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</si>
  <si>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</si>
  <si>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</si>
  <si>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</si>
  <si>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</si>
  <si>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</si>
  <si>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</si>
  <si>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</si>
  <si>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</si>
  <si>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</si>
  <si>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</si>
  <si>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</si>
  <si>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</si>
  <si>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</si>
  <si>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</si>
  <si>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</si>
  <si>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</si>
  <si>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</si>
  <si>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</si>
  <si>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</si>
  <si>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</si>
  <si>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</si>
  <si>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</si>
  <si>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</si>
  <si>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</si>
  <si>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</si>
  <si>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</si>
  <si>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</si>
  <si>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</si>
  <si>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</si>
  <si>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</si>
  <si>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</si>
  <si>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</si>
  <si>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</si>
  <si>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</si>
  <si>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</si>
  <si>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</si>
  <si>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</si>
  <si>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</si>
  <si>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</si>
  <si>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</si>
  <si>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</si>
  <si>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</si>
  <si>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</si>
  <si>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</si>
  <si>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</si>
  <si>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</si>
  <si>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</si>
  <si>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</si>
  <si>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</si>
  <si>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</si>
  <si>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</si>
  <si>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</si>
  <si>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</si>
  <si>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</si>
  <si>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</si>
  <si>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</si>
  <si>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</si>
  <si>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</si>
  <si>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</si>
  <si>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</si>
  <si>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</si>
  <si>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</si>
  <si>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</si>
  <si>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</si>
  <si>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</si>
  <si>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</si>
  <si>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</si>
  <si>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</si>
  <si>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</si>
  <si>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</si>
  <si>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</si>
  <si>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</si>
  <si>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</si>
  <si>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</si>
  <si>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</si>
  <si>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</si>
  <si>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</si>
  <si>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</si>
  <si>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</si>
  <si>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</si>
  <si>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</si>
  <si>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</si>
  <si>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</si>
  <si>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</si>
  <si>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</si>
  <si>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</si>
  <si>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</si>
  <si>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</si>
  <si>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</si>
  <si>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</si>
  <si>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</si>
  <si>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</si>
  <si>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</si>
  <si>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</si>
  <si>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</si>
  <si>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</si>
  <si>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</si>
  <si>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</si>
  <si>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</si>
  <si>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</si>
  <si>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</si>
  <si>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</si>
  <si>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</si>
  <si>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</si>
  <si>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</si>
  <si>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</si>
  <si>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</si>
  <si>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</si>
  <si>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</si>
  <si>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</si>
  <si>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</si>
  <si>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</si>
  <si>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</si>
  <si>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</si>
  <si>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</si>
  <si>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</si>
  <si>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</si>
  <si>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</si>
  <si>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</si>
  <si>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</si>
  <si>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</si>
  <si>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</si>
  <si>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</si>
  <si>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</si>
  <si>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</si>
  <si>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</si>
  <si>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</si>
  <si>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</si>
  <si>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</si>
  <si>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</si>
  <si>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</si>
  <si>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</si>
  <si>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</si>
  <si>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</si>
  <si>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</si>
  <si>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</si>
  <si>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</si>
  <si>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</si>
  <si>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</si>
  <si>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</si>
  <si>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</si>
  <si>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</si>
  <si>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</si>
  <si>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</si>
  <si>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</si>
  <si>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</si>
  <si>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</si>
  <si>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</si>
  <si>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</si>
  <si>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</si>
  <si>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</si>
  <si>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</si>
  <si>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</si>
  <si>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</si>
  <si>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</si>
  <si>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</si>
  <si>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</si>
  <si>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</si>
  <si>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</si>
  <si>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</si>
  <si>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</si>
  <si>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</si>
  <si>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</si>
  <si>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</si>
  <si>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</si>
  <si>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</si>
  <si>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</si>
  <si>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</si>
  <si>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</si>
  <si>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</si>
  <si>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</si>
  <si>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</si>
  <si>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</si>
  <si>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</si>
  <si>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</si>
  <si>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</si>
  <si>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</si>
  <si>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</si>
  <si>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</si>
  <si>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</si>
  <si>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</si>
  <si>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</si>
  <si>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</si>
  <si>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</si>
  <si>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</si>
  <si>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</si>
  <si>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</si>
  <si>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</si>
  <si>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</si>
  <si>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</si>
  <si>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</si>
  <si>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</si>
  <si>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</si>
  <si>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</si>
  <si>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</si>
  <si>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</si>
  <si>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</si>
  <si>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</si>
  <si>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</si>
  <si>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</si>
  <si>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</si>
  <si>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</si>
  <si>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</si>
  <si>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</si>
  <si>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</si>
  <si>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</si>
  <si>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</si>
  <si>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</si>
  <si>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</si>
  <si>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</si>
  <si>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</si>
  <si>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</si>
  <si>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</si>
  <si>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</si>
  <si>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</si>
  <si>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</si>
  <si>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</si>
  <si>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</si>
  <si>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</si>
  <si>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</si>
  <si>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</si>
  <si>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</si>
  <si>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</si>
  <si>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</si>
  <si>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</si>
  <si>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</si>
  <si>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</si>
  <si>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</si>
  <si>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</si>
  <si>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</si>
  <si>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</si>
  <si>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</si>
  <si>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</si>
  <si>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</si>
  <si>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</si>
  <si>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</si>
  <si>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</si>
  <si>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</si>
  <si>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</si>
  <si>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</si>
  <si>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</si>
  <si>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</si>
  <si>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</si>
  <si>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</si>
  <si>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</si>
  <si>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</si>
  <si>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</si>
  <si>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</si>
  <si>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</si>
  <si>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</si>
  <si>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</si>
  <si>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</si>
  <si>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</si>
  <si>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</si>
  <si>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</si>
  <si>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</si>
  <si>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</si>
  <si>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</si>
  <si>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</si>
  <si>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</si>
  <si>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</si>
  <si>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</si>
  <si>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</si>
  <si>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</si>
  <si>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</si>
  <si>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</si>
  <si>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</si>
  <si>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</si>
  <si>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</si>
  <si>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</si>
  <si>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</si>
  <si>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</si>
  <si>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</si>
  <si>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</si>
  <si>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</si>
  <si>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</si>
  <si>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</si>
  <si>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</si>
  <si>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</si>
  <si>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</si>
  <si>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</si>
  <si>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</si>
  <si>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</si>
  <si>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</si>
  <si>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</si>
  <si>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</si>
  <si>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</si>
  <si>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</si>
  <si>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</si>
  <si>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</si>
  <si>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</si>
  <si>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</si>
  <si>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</si>
  <si>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</si>
  <si>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</si>
  <si>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</si>
  <si>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</si>
  <si>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</si>
  <si>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</si>
  <si>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</si>
  <si>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</si>
  <si>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</si>
  <si>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</si>
  <si>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</si>
  <si>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</si>
  <si>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</si>
  <si>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</si>
  <si>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</si>
  <si>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</si>
  <si>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</si>
  <si>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</si>
  <si>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</si>
  <si>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</si>
  <si>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</si>
  <si>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</si>
  <si>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</si>
  <si>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</si>
  <si>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</si>
  <si>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</si>
  <si>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</si>
  <si>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</si>
  <si>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</si>
  <si>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</si>
  <si>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</si>
  <si>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</si>
  <si>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</si>
  <si>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</si>
  <si>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</si>
  <si>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</si>
  <si>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</si>
  <si>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</si>
  <si>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</si>
  <si>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</si>
  <si>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</si>
  <si>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</si>
  <si>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</si>
  <si>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</si>
  <si>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</si>
  <si>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</si>
  <si>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</si>
  <si>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</si>
  <si>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</si>
  <si>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</si>
  <si>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</si>
  <si>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</si>
  <si>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</si>
  <si>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</si>
  <si>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</si>
  <si>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</si>
  <si>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</si>
  <si>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</si>
  <si>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</si>
  <si>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</si>
  <si>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</si>
  <si>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</si>
  <si>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</si>
  <si>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</si>
  <si>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</si>
  <si>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</si>
  <si>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</si>
  <si>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</si>
  <si>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</si>
  <si>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</si>
  <si>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</si>
  <si>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</si>
  <si>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</si>
  <si>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</si>
  <si>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</si>
  <si>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</si>
  <si>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</si>
  <si>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</si>
  <si>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</si>
  <si>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</si>
  <si>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</si>
  <si>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</si>
  <si>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</si>
  <si>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</si>
  <si>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</si>
  <si>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</si>
  <si>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</si>
  <si>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</si>
  <si>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</si>
  <si>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</si>
  <si>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</si>
  <si>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</si>
  <si>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</si>
  <si>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</si>
  <si>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</si>
  <si>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</si>
  <si>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</si>
  <si>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</si>
  <si>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</si>
  <si>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</si>
  <si>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</si>
  <si>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</si>
  <si>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</si>
  <si>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</si>
  <si>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</si>
  <si>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</si>
  <si>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</si>
  <si>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</si>
  <si>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</si>
  <si>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</si>
  <si>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</si>
  <si>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</si>
  <si>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</si>
  <si>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</si>
  <si>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</si>
  <si>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</si>
  <si>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</si>
  <si>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</si>
  <si>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</si>
  <si>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</si>
  <si>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</si>
  <si>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</si>
  <si>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</si>
  <si>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</si>
  <si>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</si>
  <si>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</si>
  <si>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</si>
  <si>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</si>
  <si>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</si>
  <si>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</si>
  <si>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</si>
  <si>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</si>
  <si>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</si>
  <si>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</si>
  <si>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</si>
  <si>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</si>
  <si>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</si>
  <si>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</si>
  <si>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</si>
  <si>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</si>
  <si>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</si>
  <si>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</si>
  <si>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</si>
  <si>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</si>
  <si>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</si>
  <si>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</si>
  <si>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</si>
  <si>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</si>
  <si>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</si>
  <si>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</si>
  <si>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</si>
  <si>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</si>
  <si>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</si>
  <si>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</si>
  <si>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</si>
  <si>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</si>
  <si>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</si>
  <si>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</si>
  <si>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</si>
  <si>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</si>
  <si>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</si>
  <si>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</si>
  <si>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</si>
  <si>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</si>
  <si>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</si>
  <si>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</si>
  <si>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</si>
  <si>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</si>
  <si>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</si>
  <si>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</si>
  <si>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</si>
  <si>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</si>
  <si>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</si>
  <si>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</si>
  <si>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</si>
  <si>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</si>
  <si>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</si>
  <si>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</si>
  <si>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</si>
  <si>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</si>
  <si>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</si>
  <si>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</si>
  <si>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</si>
  <si>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</si>
  <si>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</si>
  <si>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</si>
  <si>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</si>
  <si>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</si>
  <si>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</si>
  <si>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</si>
  <si>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</si>
  <si>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</si>
  <si>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</si>
  <si>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</si>
  <si>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</si>
  <si>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</si>
  <si>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</si>
  <si>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</si>
  <si>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</si>
  <si>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</si>
  <si>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</si>
  <si>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</si>
  <si>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</si>
  <si>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</si>
  <si>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</si>
  <si>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</si>
  <si>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</si>
  <si>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</si>
  <si>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</si>
  <si>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</si>
  <si>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</si>
  <si>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</si>
  <si>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</si>
  <si>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</si>
  <si>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</si>
  <si>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</si>
  <si>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</si>
  <si>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</si>
  <si>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</si>
  <si>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</si>
  <si>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</si>
  <si>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</si>
  <si>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</si>
  <si>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</si>
  <si>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</si>
  <si>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</si>
  <si>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</si>
  <si>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</si>
  <si>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</si>
  <si>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</si>
  <si>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</si>
  <si>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</si>
  <si>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</si>
  <si>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</si>
  <si>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</si>
  <si>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</si>
  <si>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</si>
  <si>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</si>
  <si>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</si>
  <si>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</si>
  <si>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</si>
  <si>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</si>
  <si>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</si>
  <si>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</si>
  <si>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</si>
  <si>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</si>
  <si>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</si>
  <si>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</si>
  <si>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</si>
  <si>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</si>
  <si>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</si>
  <si>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</si>
  <si>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</si>
  <si>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</si>
  <si>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</si>
  <si>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</si>
  <si>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</si>
  <si>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</si>
  <si>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</si>
  <si>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</si>
  <si>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</si>
  <si>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</si>
  <si>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</si>
  <si>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</si>
  <si>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</si>
  <si>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</si>
  <si>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</si>
  <si>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</si>
  <si>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</si>
  <si>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</si>
  <si>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</si>
  <si>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</si>
  <si>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</si>
  <si>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</si>
  <si>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</si>
  <si>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</si>
  <si>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</si>
  <si>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</si>
  <si>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</si>
  <si>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</si>
  <si>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</si>
  <si>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</si>
  <si>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</si>
  <si>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</si>
  <si>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</si>
  <si>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</si>
  <si>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</si>
  <si>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</si>
  <si>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</si>
  <si>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</si>
  <si>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</si>
  <si>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</si>
  <si>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</si>
  <si>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</si>
  <si>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</si>
  <si>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</si>
  <si>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</si>
  <si>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</si>
  <si>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</si>
  <si>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</si>
  <si>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</si>
  <si>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</si>
  <si>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</si>
  <si>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</si>
  <si>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</si>
  <si>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</si>
  <si>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</si>
  <si>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</si>
  <si>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</si>
  <si>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</si>
  <si>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</si>
  <si>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</si>
  <si>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</si>
  <si>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</si>
  <si>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</si>
  <si>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</si>
  <si>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</si>
  <si>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</si>
  <si>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</si>
  <si>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</si>
  <si>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</si>
  <si>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</si>
  <si>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</si>
  <si>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</si>
  <si>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</si>
  <si>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</si>
  <si>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</si>
  <si>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</si>
  <si>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</si>
  <si>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</si>
  <si>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</si>
  <si>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</si>
  <si>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</si>
  <si>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</si>
  <si>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</si>
  <si>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</si>
  <si>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</si>
  <si>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</si>
  <si>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</si>
  <si>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</si>
  <si>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</si>
  <si>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</si>
  <si>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</si>
  <si>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</si>
  <si>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</si>
  <si>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</si>
  <si>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</si>
  <si>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</si>
  <si>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</si>
  <si>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</si>
  <si>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</si>
  <si>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</si>
  <si>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</si>
  <si>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</si>
  <si>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</si>
  <si>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</si>
  <si>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</si>
  <si>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</si>
  <si>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</si>
  <si>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</si>
  <si>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</si>
  <si>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</si>
  <si>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</si>
  <si>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</si>
  <si>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</si>
  <si>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</si>
  <si>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</si>
  <si>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</si>
  <si>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</si>
  <si>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</si>
  <si>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</si>
  <si>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</si>
  <si>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</si>
  <si>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</si>
  <si>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</si>
  <si>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</si>
  <si>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</si>
  <si>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</si>
  <si>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</si>
  <si>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</si>
  <si>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</si>
  <si>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</si>
  <si>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</si>
  <si>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</si>
  <si>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</si>
  <si>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</si>
  <si>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</si>
  <si>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</si>
  <si>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</si>
  <si>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</si>
  <si>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</si>
  <si>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</si>
  <si>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</si>
  <si>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</si>
  <si>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</si>
  <si>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</si>
  <si>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</si>
  <si>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</si>
  <si>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</si>
  <si>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</si>
  <si>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</si>
  <si>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</si>
  <si>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</si>
  <si>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</si>
  <si>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</si>
  <si>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</si>
  <si>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</si>
  <si>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</si>
  <si>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</si>
  <si>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</si>
  <si>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</si>
  <si>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</si>
  <si>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</si>
  <si>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</si>
  <si>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</si>
  <si>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</si>
  <si>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</si>
  <si>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</si>
  <si>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</si>
  <si>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</si>
  <si>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</si>
  <si>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</si>
  <si>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</si>
  <si>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</si>
  <si>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</si>
  <si>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</si>
  <si>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</si>
  <si>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</si>
  <si>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</si>
  <si>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</si>
  <si>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</si>
  <si>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</si>
  <si>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</si>
  <si>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</si>
  <si>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</si>
  <si>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</si>
  <si>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</si>
  <si>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</si>
  <si>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</si>
  <si>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</si>
  <si>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</si>
  <si>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</si>
  <si>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</si>
  <si>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</si>
  <si>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</si>
  <si>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</si>
  <si>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</si>
  <si>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</si>
  <si>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</si>
  <si>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</si>
  <si>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</si>
  <si>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</si>
  <si>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</si>
  <si>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</si>
  <si>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</si>
  <si>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</si>
  <si>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</si>
  <si>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</si>
  <si>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</si>
  <si>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</si>
  <si>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</si>
  <si>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</si>
  <si>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</si>
  <si>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</si>
  <si>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</si>
  <si>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</si>
  <si>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</si>
  <si>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</si>
  <si>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</si>
  <si>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</si>
  <si>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</si>
  <si>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</si>
  <si>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</si>
  <si>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</si>
  <si>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</si>
  <si>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</si>
  <si>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</si>
  <si>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</si>
  <si>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</si>
  <si>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</si>
  <si>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</si>
  <si>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</si>
  <si>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</si>
  <si>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</si>
  <si>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</si>
  <si>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</si>
  <si>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</si>
  <si>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</si>
  <si>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</si>
  <si>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</si>
  <si>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</si>
  <si>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</si>
  <si>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</si>
  <si>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</si>
  <si>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</si>
  <si>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</si>
  <si>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</si>
  <si>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</si>
  <si>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</si>
  <si>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</si>
  <si>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</si>
  <si>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</si>
  <si>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</si>
  <si>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</si>
  <si>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</si>
  <si>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</si>
  <si>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</si>
  <si>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</si>
  <si>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</si>
  <si>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</si>
  <si>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</si>
  <si>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</si>
  <si>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</si>
  <si>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</si>
  <si>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</si>
  <si>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</si>
  <si>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</si>
  <si>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</si>
  <si>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</si>
  <si>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</si>
  <si>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</si>
  <si>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</si>
  <si>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</si>
  <si>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</si>
  <si>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</si>
  <si>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</si>
  <si>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</si>
  <si>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</si>
  <si>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</si>
  <si>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</si>
  <si>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</si>
  <si>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</si>
  <si>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</si>
  <si>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</si>
  <si>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</si>
  <si>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</si>
  <si>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</si>
  <si>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</si>
  <si>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</si>
  <si>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</si>
  <si>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</si>
  <si>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</si>
  <si>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</si>
  <si>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</si>
  <si>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</si>
  <si>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</si>
  <si>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</si>
  <si>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</si>
  <si>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</si>
  <si>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</si>
  <si>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</si>
  <si>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</si>
  <si>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</si>
  <si>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</si>
  <si>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</si>
  <si>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</si>
  <si>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</si>
  <si>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</si>
  <si>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</si>
  <si>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</si>
  <si>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</si>
  <si>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</si>
  <si>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</si>
  <si>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</si>
  <si>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</si>
  <si>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</si>
  <si>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</si>
  <si>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</si>
  <si>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</si>
  <si>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</si>
  <si>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</si>
  <si>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</si>
  <si>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</si>
  <si>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</si>
  <si>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</si>
  <si>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</si>
  <si>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</si>
  <si>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</si>
  <si>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</si>
  <si>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</si>
  <si>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</si>
  <si>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</si>
  <si>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</si>
  <si>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</si>
  <si>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</si>
  <si>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</si>
  <si>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</si>
  <si>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</si>
  <si>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</si>
  <si>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</si>
  <si>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</si>
  <si>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</si>
  <si>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</si>
  <si>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</si>
  <si>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</si>
  <si>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</si>
  <si>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</si>
  <si>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</si>
  <si>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</si>
  <si>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</si>
  <si>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</si>
  <si>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</si>
  <si>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</si>
  <si>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</si>
  <si>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</si>
  <si>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</si>
  <si>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</si>
  <si>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</si>
  <si>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</si>
  <si>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</si>
  <si>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</si>
  <si>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</si>
  <si>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</si>
  <si>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</si>
  <si>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</si>
  <si>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</si>
  <si>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</si>
  <si>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</si>
  <si>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</si>
  <si>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</si>
  <si>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</si>
  <si>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</si>
  <si>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</si>
  <si>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</si>
  <si>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</si>
  <si>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</si>
  <si>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</si>
  <si>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</si>
  <si>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</si>
  <si>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</si>
  <si>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</si>
  <si>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</si>
  <si>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</si>
  <si>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</si>
  <si>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</si>
  <si>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</si>
  <si>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</si>
  <si>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</si>
  <si>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</si>
  <si>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</si>
  <si>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</si>
  <si>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</si>
  <si>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</si>
  <si>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</si>
  <si>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</si>
  <si>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</si>
  <si>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</si>
  <si>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</si>
  <si>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</si>
  <si>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</si>
  <si>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</si>
  <si>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</si>
  <si>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</si>
  <si>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</si>
  <si>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</si>
  <si>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</si>
  <si>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</si>
  <si>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</si>
  <si>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</si>
  <si>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</si>
  <si>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</si>
  <si>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</si>
  <si>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</si>
  <si>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</si>
  <si>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</si>
  <si>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</si>
  <si>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</si>
  <si>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</si>
  <si>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</si>
  <si>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</si>
  <si>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</si>
  <si>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</si>
  <si>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</si>
  <si>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</si>
  <si>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</si>
  <si>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</si>
  <si>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</si>
  <si>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</si>
  <si>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</si>
  <si>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</si>
  <si>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</si>
  <si>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</si>
  <si>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</si>
  <si>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</si>
  <si>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</si>
  <si>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</si>
  <si>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</si>
  <si>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</si>
  <si>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</si>
  <si>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</si>
  <si>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</si>
  <si>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</si>
  <si>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</si>
  <si>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</si>
  <si>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</si>
  <si>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</si>
  <si>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</si>
  <si>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</si>
  <si>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</si>
  <si>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</si>
  <si>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</si>
  <si>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</si>
  <si>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</si>
  <si>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</si>
  <si>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</si>
  <si>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</si>
  <si>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</si>
  <si>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</si>
  <si>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</si>
  <si>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</si>
  <si>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</si>
  <si>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</si>
  <si>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</si>
  <si>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</si>
  <si>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</si>
  <si>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</si>
  <si>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</si>
  <si>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</si>
  <si>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</si>
  <si>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</si>
  <si>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</si>
  <si>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</si>
  <si>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</si>
  <si>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</si>
  <si>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</si>
  <si>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</si>
  <si>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</si>
  <si>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</si>
  <si>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</si>
  <si>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</si>
  <si>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</si>
  <si>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</si>
  <si>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</si>
  <si>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</si>
  <si>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</si>
  <si>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</si>
  <si>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</si>
  <si>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</si>
  <si>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</si>
  <si>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</si>
  <si>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</si>
  <si>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</si>
  <si>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</si>
  <si>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</si>
  <si>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</si>
  <si>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</si>
  <si>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</si>
  <si>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</si>
  <si>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</si>
  <si>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</si>
  <si>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</si>
  <si>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</si>
  <si>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</si>
  <si>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</si>
  <si>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</si>
  <si>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</si>
  <si>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</si>
  <si>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</si>
  <si>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</si>
  <si>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</si>
  <si>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</si>
  <si>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</si>
  <si>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</si>
  <si>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</si>
  <si>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</si>
  <si>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</si>
  <si>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</si>
  <si>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</si>
  <si>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</si>
  <si>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</si>
  <si>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</si>
  <si>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</si>
  <si>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</si>
  <si>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</si>
  <si>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</si>
  <si>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</si>
  <si>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</si>
  <si>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</si>
  <si>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</si>
  <si>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</si>
  <si>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</si>
  <si>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</si>
  <si>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</si>
  <si>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</si>
  <si>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</si>
  <si>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</si>
  <si>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</si>
  <si>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</si>
  <si>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</si>
  <si>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</si>
  <si>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</si>
  <si>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</si>
  <si>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</si>
  <si>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</si>
  <si>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</si>
  <si>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</si>
  <si>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</si>
  <si>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</si>
  <si>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</si>
  <si>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</si>
  <si>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</si>
  <si>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</si>
  <si>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</si>
  <si>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</si>
  <si>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</si>
  <si>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</si>
  <si>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</si>
  <si>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</si>
  <si>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</si>
  <si>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</si>
  <si>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</si>
  <si>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</si>
  <si>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</si>
  <si>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</si>
  <si>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</si>
  <si>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</si>
  <si>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</si>
  <si>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</si>
  <si>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</si>
  <si>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</si>
  <si>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</si>
  <si>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</si>
  <si>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</si>
  <si>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</si>
  <si>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</si>
  <si>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</si>
  <si>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</si>
  <si>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</si>
  <si>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</si>
  <si>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</si>
  <si>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</si>
  <si>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</si>
  <si>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</si>
  <si>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</si>
  <si>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</si>
  <si>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</si>
  <si>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</si>
  <si>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</si>
  <si>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</si>
  <si>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</si>
  <si>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</si>
  <si>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</si>
  <si>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</si>
  <si>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</si>
  <si>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</si>
  <si>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</si>
  <si>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</si>
  <si>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</si>
  <si>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</si>
  <si>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</si>
  <si>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</si>
  <si>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</si>
  <si>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</si>
  <si>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</si>
  <si>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</si>
  <si>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</si>
  <si>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</si>
  <si>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</si>
  <si>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</si>
  <si>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</si>
  <si>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</si>
  <si>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</si>
  <si>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</si>
  <si>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</si>
  <si>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</si>
  <si>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</si>
  <si>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</si>
  <si>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</si>
  <si>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</si>
  <si>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</si>
  <si>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</si>
  <si>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</si>
  <si>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</si>
  <si>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</si>
  <si>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</si>
  <si>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</si>
  <si>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</si>
  <si>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</si>
  <si>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</si>
  <si>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</si>
  <si>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</si>
  <si>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</si>
  <si>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</si>
  <si>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</si>
  <si>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</si>
  <si>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</si>
  <si>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</si>
  <si>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</si>
  <si>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</si>
  <si>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</si>
  <si>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</si>
  <si>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</si>
  <si>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</si>
  <si>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</si>
  <si>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</si>
  <si>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</si>
  <si>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</si>
  <si>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</si>
  <si>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</si>
  <si>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</si>
  <si>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</si>
  <si>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</si>
  <si>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</si>
  <si>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</si>
  <si>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</si>
  <si>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</si>
  <si>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</si>
  <si>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</si>
  <si>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</si>
  <si>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</si>
  <si>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</si>
  <si>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</si>
  <si>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</si>
  <si>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</si>
  <si>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</si>
  <si>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</si>
  <si>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</si>
  <si>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</si>
  <si>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</si>
  <si>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</si>
  <si>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</si>
  <si>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</si>
  <si>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</si>
  <si>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</si>
  <si>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</si>
  <si>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</si>
  <si>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</si>
  <si>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</si>
  <si>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</si>
  <si>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</si>
  <si>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</si>
  <si>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</si>
  <si>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</si>
  <si>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</si>
  <si>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</si>
  <si>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</si>
  <si>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</si>
  <si>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</si>
  <si>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</si>
  <si>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</si>
  <si>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</si>
  <si>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</si>
  <si>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</si>
  <si>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</si>
  <si>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</si>
  <si>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</si>
  <si>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</si>
  <si>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</si>
  <si>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</si>
  <si>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</si>
  <si>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</si>
  <si>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</si>
  <si>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</si>
  <si>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</si>
  <si>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</si>
  <si>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</si>
  <si>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</si>
  <si>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</si>
  <si>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</si>
  <si>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</si>
  <si>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</si>
  <si>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</si>
  <si>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</si>
  <si>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</si>
  <si>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</si>
  <si>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</si>
  <si>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</si>
  <si>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</si>
  <si>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</si>
  <si>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</si>
  <si>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</si>
  <si>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</si>
  <si>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</si>
  <si>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</si>
  <si>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</si>
  <si>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</si>
  <si>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</si>
  <si>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</si>
  <si>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</si>
  <si>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</si>
  <si>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</si>
  <si>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</si>
  <si>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</si>
  <si>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</si>
  <si>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</si>
  <si>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</si>
  <si>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</si>
  <si>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</si>
  <si>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</si>
  <si>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</si>
  <si>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</si>
  <si>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</si>
  <si>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</si>
  <si>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</si>
  <si>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</si>
  <si>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</si>
  <si>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</si>
  <si>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</si>
  <si>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</si>
  <si>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</si>
  <si>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</si>
  <si>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</si>
  <si>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</si>
  <si>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</si>
  <si>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</si>
  <si>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</si>
  <si>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</si>
  <si>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</si>
  <si>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</si>
  <si>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</si>
  <si>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</si>
  <si>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</si>
  <si>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</si>
  <si>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</si>
  <si>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</si>
  <si>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</si>
  <si>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</si>
  <si>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</si>
  <si>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</si>
  <si>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</si>
  <si>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</si>
  <si>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</si>
  <si>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</si>
  <si>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</si>
  <si>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</si>
  <si>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</si>
  <si>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</si>
  <si>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</si>
  <si>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</si>
  <si>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</si>
  <si>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</si>
  <si>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</si>
  <si>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</si>
  <si>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</si>
  <si>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</si>
  <si>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</si>
  <si>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</si>
  <si>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</si>
  <si>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</si>
  <si>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</si>
  <si>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</si>
  <si>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</si>
  <si>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</si>
  <si>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</si>
  <si>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</si>
  <si>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</si>
  <si>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</si>
  <si>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</si>
  <si>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</si>
  <si>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</si>
  <si>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</si>
  <si>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</si>
  <si>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</si>
  <si>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</si>
  <si>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</si>
  <si>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</si>
  <si>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</si>
  <si>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</si>
  <si>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</si>
  <si>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</si>
  <si>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</si>
  <si>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</si>
  <si>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</si>
  <si>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</si>
  <si>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</si>
  <si>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</si>
  <si>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</si>
  <si>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</si>
  <si>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</si>
  <si>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</si>
  <si>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</si>
  <si>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</si>
  <si>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</si>
  <si>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</si>
  <si>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</si>
  <si>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</si>
  <si>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</si>
  <si>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</si>
  <si>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</si>
  <si>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</si>
  <si>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</si>
  <si>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</si>
  <si>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</si>
  <si>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</si>
  <si>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</si>
  <si>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</si>
  <si>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</si>
  <si>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</si>
  <si>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</si>
  <si>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</si>
  <si>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</si>
  <si>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</si>
  <si>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</si>
  <si>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</si>
  <si>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</si>
  <si>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</si>
  <si>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</si>
  <si>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</si>
  <si>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</si>
  <si>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</si>
  <si>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</si>
  <si>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</si>
  <si>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</si>
  <si>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</si>
  <si>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</si>
  <si>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</si>
  <si>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</si>
  <si>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</si>
  <si>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</si>
  <si>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</si>
  <si>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</si>
  <si>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</si>
  <si>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</si>
  <si>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</si>
  <si>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</si>
  <si>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</si>
  <si>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</si>
  <si>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</si>
  <si>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</si>
  <si>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</si>
  <si>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</si>
  <si>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</si>
  <si>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</si>
  <si>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</si>
  <si>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</si>
  <si>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</si>
  <si>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</si>
  <si>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</si>
  <si>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</si>
  <si>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</si>
  <si>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</si>
  <si>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</si>
  <si>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</si>
  <si>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</si>
  <si>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</si>
  <si>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</si>
  <si>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</si>
  <si>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</si>
  <si>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</si>
  <si>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</si>
  <si>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</si>
  <si>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</si>
  <si>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</si>
  <si>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</si>
  <si>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</si>
  <si>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</si>
  <si>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</si>
  <si>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</si>
  <si>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</si>
  <si>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</si>
  <si>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</si>
  <si>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</si>
  <si>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</si>
  <si>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</si>
  <si>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</si>
  <si>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</si>
  <si>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</si>
  <si>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</si>
  <si>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</si>
  <si>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</si>
  <si>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</si>
  <si>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</si>
  <si>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</si>
  <si>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</si>
  <si>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</si>
  <si>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</si>
  <si>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</si>
  <si>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</si>
  <si>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</si>
  <si>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</si>
  <si>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</si>
  <si>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</si>
  <si>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</si>
  <si>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</si>
  <si>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</si>
  <si>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</si>
  <si>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</si>
  <si>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</si>
  <si>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</si>
  <si>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</si>
  <si>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</si>
  <si>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</si>
  <si>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</si>
  <si>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</si>
  <si>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</si>
  <si>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</si>
  <si>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</si>
  <si>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</si>
  <si>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</si>
  <si>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</si>
  <si>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</si>
  <si>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</si>
  <si>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</si>
  <si>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</si>
  <si>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</si>
  <si>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</si>
  <si>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</si>
  <si>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</si>
  <si>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</si>
  <si>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</si>
  <si>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</si>
  <si>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</si>
  <si>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</si>
  <si>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</si>
  <si>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</si>
  <si>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</si>
  <si>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</si>
  <si>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</si>
  <si>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</si>
  <si>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</si>
  <si>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</si>
  <si>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</si>
  <si>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</si>
  <si>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</si>
  <si>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</si>
  <si>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</si>
  <si>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</si>
  <si>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</si>
  <si>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</si>
  <si>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</si>
  <si>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</si>
  <si>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</si>
  <si>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</si>
  <si>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</si>
  <si>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</si>
  <si>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</si>
  <si>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</si>
  <si>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</si>
  <si>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</si>
  <si>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</si>
  <si>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</si>
  <si>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</si>
  <si>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</si>
  <si>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</si>
  <si>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</si>
  <si>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</si>
  <si>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</si>
  <si>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</si>
  <si>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</si>
  <si>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</si>
  <si>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</si>
  <si>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</si>
  <si>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</si>
  <si>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</si>
  <si>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</si>
  <si>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</si>
  <si>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</si>
  <si>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</si>
  <si>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</si>
  <si>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</si>
  <si>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</si>
  <si>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</si>
  <si>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</si>
  <si>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</si>
  <si>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</si>
  <si>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</si>
  <si>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</si>
  <si>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</si>
  <si>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</si>
  <si>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</si>
  <si>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</si>
  <si>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</si>
  <si>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</si>
  <si>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</si>
  <si>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</si>
  <si>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</si>
  <si>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</si>
  <si>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</si>
  <si>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</si>
  <si>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</si>
  <si>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</si>
  <si>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</si>
  <si>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</si>
  <si>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</si>
  <si>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</si>
  <si>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</si>
  <si>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</si>
  <si>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</si>
  <si>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</si>
  <si>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</si>
  <si>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</si>
  <si>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</si>
  <si>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</si>
  <si>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</si>
  <si>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</si>
  <si>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</si>
  <si>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</si>
  <si>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</si>
  <si>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</si>
  <si>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</si>
  <si>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</si>
  <si>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</si>
  <si>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</si>
  <si>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</si>
  <si>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</si>
  <si>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</si>
  <si>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</si>
  <si>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</si>
  <si>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</si>
  <si>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</si>
  <si>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</si>
  <si>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</si>
  <si>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</si>
  <si>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</si>
  <si>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</si>
  <si>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</si>
  <si>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</si>
  <si>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</si>
  <si>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</si>
  <si>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</si>
  <si>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</si>
  <si>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</si>
  <si>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</si>
  <si>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</si>
  <si>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</si>
  <si>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</si>
  <si>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</si>
  <si>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</si>
  <si>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</si>
  <si>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</si>
  <si>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</si>
  <si>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</si>
  <si>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</si>
  <si>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</si>
  <si>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</si>
  <si>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</si>
  <si>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</si>
  <si>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</si>
  <si>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</si>
  <si>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</si>
  <si>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</si>
  <si>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</si>
  <si>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</si>
  <si>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</si>
  <si>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</si>
  <si>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</si>
  <si>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</si>
  <si>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</si>
  <si>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</si>
  <si>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</si>
  <si>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</si>
  <si>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</si>
  <si>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</si>
  <si>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</si>
  <si>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</si>
  <si>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</si>
  <si>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</si>
  <si>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</si>
  <si>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</si>
  <si>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</si>
  <si>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</si>
  <si>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</si>
  <si>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</si>
  <si>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</si>
  <si>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</si>
  <si>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</si>
  <si>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</si>
  <si>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</si>
  <si>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</si>
  <si>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</si>
  <si>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</si>
  <si>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</si>
  <si>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</si>
  <si>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</si>
  <si>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</si>
  <si>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</si>
  <si>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</si>
  <si>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</si>
  <si>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</si>
  <si>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</si>
  <si>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</si>
  <si>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</si>
  <si>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</si>
  <si>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</si>
  <si>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</si>
  <si>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</si>
  <si>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</si>
  <si>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</si>
  <si>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</si>
  <si>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</si>
  <si>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</si>
  <si>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</si>
  <si>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</si>
  <si>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</si>
  <si>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</si>
  <si>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</si>
  <si>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</si>
  <si>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</si>
  <si>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</si>
  <si>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</si>
  <si>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</si>
  <si>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</si>
  <si>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</si>
  <si>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</si>
  <si>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</si>
  <si>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</si>
  <si>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</si>
  <si>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</si>
  <si>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</si>
  <si>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</si>
  <si>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</si>
  <si>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</si>
  <si>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</si>
  <si>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</si>
  <si>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</si>
  <si>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</si>
  <si>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</si>
  <si>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</si>
  <si>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</si>
  <si>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</si>
  <si>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</si>
  <si>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</si>
  <si>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</si>
  <si>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</si>
  <si>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</si>
  <si>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</si>
  <si>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</si>
  <si>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</si>
  <si>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</si>
  <si>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</si>
  <si>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</si>
  <si>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</si>
  <si>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</si>
  <si>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</si>
  <si>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</si>
  <si>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</si>
  <si>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</si>
  <si>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</si>
  <si>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</si>
  <si>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</si>
  <si>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</si>
  <si>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</si>
  <si>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</si>
  <si>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</si>
  <si>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</si>
  <si>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</si>
  <si>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</si>
  <si>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</si>
  <si>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</si>
  <si>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</si>
  <si>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</si>
  <si>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</si>
  <si>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</si>
  <si>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</si>
  <si>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</si>
  <si>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</si>
  <si>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</si>
  <si>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</si>
  <si>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</si>
  <si>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</si>
  <si>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</si>
  <si>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</si>
  <si>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</si>
  <si>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</si>
  <si>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</si>
  <si>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</si>
  <si>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</si>
  <si>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</si>
  <si>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</si>
  <si>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</si>
  <si>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</si>
  <si>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</si>
  <si>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</si>
  <si>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</si>
  <si>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</si>
  <si>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</si>
  <si>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</si>
  <si>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</si>
  <si>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</si>
  <si>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</si>
  <si>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</si>
  <si>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</si>
  <si>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</si>
  <si>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</si>
  <si>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</si>
  <si>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</si>
  <si>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</si>
  <si>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</si>
  <si>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</si>
  <si>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</si>
  <si>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</si>
  <si>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</si>
  <si>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</si>
  <si>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</si>
  <si>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</si>
  <si>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</si>
  <si>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</si>
  <si>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</si>
  <si>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</si>
  <si>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</si>
  <si>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</si>
  <si>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</si>
  <si>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</si>
  <si>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</si>
  <si>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</si>
  <si>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</si>
  <si>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</si>
  <si>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</si>
  <si>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</si>
  <si>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</si>
  <si>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</si>
  <si>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</si>
  <si>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</si>
  <si>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</si>
  <si>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</si>
  <si>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</si>
  <si>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</si>
  <si>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</si>
  <si>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</si>
  <si>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</si>
  <si>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</si>
  <si>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</si>
  <si>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</si>
  <si>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</si>
  <si>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</si>
  <si>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</si>
  <si>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</si>
  <si>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</si>
  <si>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</si>
  <si>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</si>
  <si>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</si>
  <si>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</si>
  <si>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</si>
  <si>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</si>
  <si>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</si>
  <si>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</si>
  <si>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</si>
  <si>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</si>
  <si>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</si>
  <si>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</si>
  <si>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</si>
  <si>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</si>
  <si>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</si>
  <si>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</si>
  <si>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</si>
  <si>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</si>
  <si>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</si>
  <si>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</si>
  <si>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</si>
  <si>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</si>
  <si>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</si>
  <si>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</si>
  <si>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</si>
  <si>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</si>
  <si>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</si>
  <si>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</si>
  <si>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</si>
  <si>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</si>
  <si>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</si>
  <si>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</si>
  <si>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</si>
  <si>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</si>
  <si>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</si>
  <si>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</si>
  <si>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</si>
  <si>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</si>
  <si>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</si>
  <si>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</si>
  <si>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</si>
  <si>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</si>
  <si>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</si>
  <si>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</si>
  <si>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</si>
  <si>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</si>
  <si>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</si>
  <si>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</si>
  <si>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</si>
  <si>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</si>
  <si>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</si>
  <si>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</si>
  <si>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</si>
  <si>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</si>
  <si>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</si>
  <si>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</si>
  <si>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</si>
  <si>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</si>
  <si>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</si>
  <si>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</si>
  <si>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</si>
  <si>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</si>
  <si>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</si>
  <si>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</si>
  <si>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</si>
  <si>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</si>
  <si>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</si>
  <si>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</si>
  <si>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</si>
  <si>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</si>
  <si>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</si>
  <si>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</si>
  <si>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</si>
  <si>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</si>
  <si>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</si>
  <si>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</si>
  <si>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</si>
  <si>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</si>
  <si>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</si>
  <si>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</si>
  <si>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</si>
  <si>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</si>
  <si>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</si>
  <si>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</si>
  <si>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</si>
  <si>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</si>
  <si>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</si>
  <si>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</si>
  <si>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</si>
  <si>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</si>
  <si>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</si>
  <si>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</si>
  <si>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</si>
  <si>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</si>
  <si>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</si>
  <si>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</si>
  <si>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</si>
  <si>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</si>
  <si>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</si>
  <si>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</si>
  <si>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</si>
  <si>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</si>
  <si>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</si>
  <si>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</si>
  <si>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</si>
  <si>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</si>
  <si>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</si>
  <si>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</si>
  <si>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</si>
  <si>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</si>
  <si>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</si>
  <si>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</si>
  <si>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</si>
  <si>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</si>
  <si>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</si>
  <si>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</si>
  <si>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</si>
  <si>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</si>
  <si>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</si>
  <si>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</si>
  <si>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</si>
  <si>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</si>
  <si>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</si>
  <si>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</si>
  <si>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</si>
  <si>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</si>
  <si>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</si>
  <si>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</si>
  <si>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</si>
  <si>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</si>
  <si>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</si>
  <si>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</si>
  <si>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</si>
  <si>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</si>
  <si>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</si>
  <si>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</si>
  <si>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</si>
  <si>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</si>
  <si>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</si>
  <si>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</si>
  <si>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</si>
  <si>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</si>
  <si>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</si>
  <si>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</si>
  <si>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</si>
  <si>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</si>
  <si>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</si>
  <si>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</si>
  <si>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</si>
  <si>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</si>
  <si>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</si>
  <si>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</si>
  <si>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</si>
  <si>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</si>
  <si>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</si>
  <si>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</si>
  <si>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</si>
  <si>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</si>
  <si>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</si>
  <si>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</si>
  <si>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</si>
  <si>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</si>
  <si>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</si>
  <si>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</si>
  <si>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</si>
  <si>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</si>
  <si>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</si>
  <si>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</si>
  <si>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</si>
  <si>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</si>
  <si>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</si>
  <si>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</si>
  <si>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</si>
  <si>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</si>
  <si>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</si>
  <si>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</si>
  <si>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</si>
  <si>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</si>
  <si>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</si>
  <si>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</si>
  <si>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</si>
  <si>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</si>
  <si>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</si>
  <si>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</si>
  <si>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</si>
  <si>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</si>
  <si>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</si>
  <si>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</si>
  <si>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</si>
  <si>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</si>
  <si>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</si>
  <si>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</si>
  <si>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</si>
  <si>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</si>
  <si>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</si>
  <si>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</si>
  <si>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</si>
  <si>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</si>
  <si>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</si>
  <si>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</si>
  <si>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</si>
  <si>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</si>
  <si>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</si>
  <si>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</si>
  <si>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</si>
  <si>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</si>
  <si>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</si>
  <si>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</si>
  <si>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</si>
  <si>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</si>
  <si>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</si>
  <si>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</si>
  <si>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</si>
  <si>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</si>
  <si>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</si>
  <si>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</si>
  <si>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</si>
  <si>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</si>
  <si>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</si>
  <si>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</si>
  <si>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</si>
  <si>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</si>
  <si>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</si>
  <si>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</si>
  <si>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</si>
  <si>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</si>
  <si>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</si>
  <si>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</si>
  <si>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</si>
  <si>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</si>
  <si>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</si>
  <si>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</si>
  <si>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</si>
  <si>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</si>
  <si>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</si>
  <si>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</si>
  <si>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</si>
  <si>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</si>
  <si>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</si>
  <si>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</si>
  <si>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</si>
  <si>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</si>
  <si>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</si>
  <si>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</si>
  <si>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</si>
  <si>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</si>
  <si>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</si>
  <si>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</si>
  <si>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</si>
  <si>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</si>
  <si>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</si>
  <si>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</si>
  <si>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</si>
  <si>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</si>
  <si>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</si>
  <si>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</si>
  <si>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</si>
  <si>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</si>
  <si>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</si>
  <si>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</si>
  <si>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</si>
  <si>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</si>
  <si>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</si>
  <si>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</si>
  <si>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</si>
  <si>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</si>
  <si>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</si>
  <si>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</si>
  <si>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</si>
  <si>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</si>
  <si>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</si>
  <si>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</si>
  <si>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</si>
  <si>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</si>
  <si>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</si>
  <si>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</si>
  <si>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</si>
  <si>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</si>
  <si>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</si>
  <si>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</si>
  <si>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</si>
  <si>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</si>
  <si>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</si>
  <si>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</si>
  <si>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</si>
  <si>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</si>
  <si>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</si>
  <si>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</si>
  <si>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</si>
  <si>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</si>
  <si>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</si>
  <si>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</si>
  <si>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</si>
  <si>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</si>
  <si>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</si>
  <si>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</si>
  <si>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</si>
  <si>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</si>
  <si>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</si>
  <si>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</si>
  <si>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</si>
  <si>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</si>
  <si>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</si>
  <si>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</si>
  <si>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</si>
  <si>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</si>
  <si>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</si>
  <si>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</si>
  <si>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</si>
  <si>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</si>
  <si>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</si>
  <si>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</si>
  <si>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</si>
  <si>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</si>
  <si>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</si>
  <si>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</si>
  <si>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</si>
  <si>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</si>
  <si>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</si>
  <si>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</si>
  <si>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</si>
  <si>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</si>
  <si>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</si>
  <si>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</si>
  <si>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</si>
  <si>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</si>
  <si>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</si>
  <si>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</si>
  <si>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</si>
  <si>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</si>
  <si>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</si>
  <si>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</si>
  <si>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</si>
  <si>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</si>
  <si>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</si>
  <si>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</si>
  <si>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</si>
  <si>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</si>
  <si>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</si>
  <si>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</si>
  <si>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</si>
  <si>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</si>
  <si>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</si>
  <si>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</si>
  <si>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</si>
  <si>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</si>
  <si>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</si>
  <si>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</si>
  <si>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</si>
  <si>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</si>
  <si>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</si>
  <si>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</si>
  <si>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</si>
  <si>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</si>
  <si>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</si>
  <si>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</si>
  <si>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</si>
  <si>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</si>
  <si>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</si>
  <si>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</si>
  <si>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</si>
  <si>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</si>
  <si>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</si>
  <si>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</si>
  <si>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</si>
  <si>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</si>
  <si>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</si>
  <si>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</si>
  <si>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</si>
  <si>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</si>
  <si>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</si>
  <si>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</si>
  <si>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</si>
  <si>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</si>
  <si>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</si>
  <si>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</si>
  <si>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</si>
  <si>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</si>
  <si>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</si>
  <si>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</si>
  <si>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</si>
  <si>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</si>
  <si>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</si>
  <si>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</si>
  <si>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</si>
  <si>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</si>
  <si>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</si>
  <si>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</si>
  <si>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</si>
  <si>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</si>
  <si>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</si>
  <si>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</si>
  <si>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</si>
  <si>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</si>
  <si>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</si>
  <si>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</si>
  <si>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</si>
  <si>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</si>
  <si>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</si>
  <si>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</si>
  <si>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</si>
  <si>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</si>
  <si>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</si>
  <si>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</si>
  <si>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</si>
  <si>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</si>
  <si>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</si>
  <si>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</si>
  <si>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</si>
  <si>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</si>
  <si>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</si>
  <si>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</si>
  <si>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</si>
  <si>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</si>
  <si>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</si>
  <si>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</si>
  <si>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</si>
  <si>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</si>
  <si>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</si>
  <si>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</si>
  <si>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</si>
  <si>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</si>
  <si>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</si>
  <si>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</si>
  <si>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</si>
  <si>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</si>
  <si>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</si>
  <si>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</si>
  <si>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</si>
  <si>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</si>
  <si>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</si>
  <si>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</si>
  <si>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</si>
  <si>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</si>
  <si>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</si>
  <si>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</si>
  <si>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</si>
  <si>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</si>
  <si>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</si>
  <si>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</si>
  <si>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</si>
  <si>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</si>
  <si>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</si>
  <si>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</si>
  <si>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</si>
  <si>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</si>
  <si>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</si>
  <si>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</si>
  <si>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</si>
  <si>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</si>
  <si>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</si>
  <si>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</si>
  <si>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</si>
  <si>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</si>
  <si>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</si>
  <si>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</si>
  <si>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</si>
  <si>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</si>
  <si>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</si>
  <si>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</si>
  <si>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</si>
  <si>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</si>
  <si>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</si>
  <si>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</si>
  <si>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</si>
  <si>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</si>
  <si>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</si>
  <si>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</si>
  <si>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</si>
  <si>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</si>
  <si>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</si>
  <si>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</si>
  <si>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</si>
  <si>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</si>
  <si>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</si>
  <si>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</si>
  <si>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</si>
  <si>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</si>
  <si>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</si>
  <si>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</si>
  <si>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</si>
  <si>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</si>
  <si>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</si>
  <si>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</si>
  <si>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</si>
  <si>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</si>
  <si>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</si>
  <si>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</si>
  <si>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</si>
  <si>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</si>
  <si>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</si>
  <si>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</si>
  <si>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</si>
  <si>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</si>
  <si>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</si>
  <si>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</si>
  <si>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</si>
  <si>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</si>
  <si>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</si>
  <si>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</si>
  <si>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</si>
  <si>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</si>
  <si>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</si>
  <si>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</si>
  <si>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</si>
  <si>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</si>
  <si>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</si>
  <si>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</si>
  <si>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</si>
  <si>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</si>
  <si>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</si>
  <si>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</si>
  <si>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</si>
  <si>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</si>
  <si>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</si>
  <si>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</si>
  <si>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</si>
  <si>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</si>
  <si>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</si>
  <si>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</si>
  <si>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</si>
  <si>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</si>
  <si>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</si>
  <si>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</si>
  <si>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</si>
  <si>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</si>
  <si>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</si>
  <si>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</si>
  <si>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</si>
  <si>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</si>
  <si>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</si>
  <si>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</si>
  <si>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</si>
  <si>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</si>
  <si>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</si>
  <si>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</si>
  <si>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</si>
  <si>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</si>
  <si>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</si>
  <si>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</si>
  <si>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</si>
  <si>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</si>
  <si>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</si>
  <si>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</si>
  <si>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</si>
  <si>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</si>
  <si>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</si>
  <si>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</si>
  <si>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</si>
  <si>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</si>
  <si>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</si>
  <si>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</si>
  <si>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</si>
  <si>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</si>
  <si>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</si>
  <si>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</si>
  <si>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</si>
  <si>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</si>
  <si>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</si>
  <si>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</si>
  <si>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</si>
  <si>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</si>
  <si>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</si>
  <si>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</si>
  <si>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</si>
  <si>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</si>
  <si>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</si>
  <si>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</si>
  <si>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</si>
  <si>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</si>
  <si>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</si>
  <si>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</si>
  <si>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</si>
  <si>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</si>
  <si>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</si>
  <si>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</si>
  <si>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</si>
  <si>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</si>
  <si>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</si>
  <si>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</si>
  <si>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</si>
  <si>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</si>
  <si>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</si>
  <si>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</si>
  <si>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</si>
  <si>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</si>
  <si>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</si>
  <si>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</si>
  <si>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</si>
  <si>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</si>
  <si>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</si>
  <si>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</si>
  <si>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</si>
  <si>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</si>
  <si>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</si>
  <si>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</si>
  <si>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</si>
  <si>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</si>
  <si>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</si>
  <si>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</si>
  <si>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</si>
  <si>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</si>
  <si>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</si>
  <si>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</si>
  <si>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</si>
  <si>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</si>
  <si>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</si>
  <si>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</si>
  <si>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</si>
  <si>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</si>
  <si>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</si>
  <si>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</si>
  <si>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</si>
  <si>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</si>
  <si>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</si>
  <si>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</si>
  <si>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</si>
  <si>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</si>
  <si>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</si>
  <si>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</si>
  <si>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</si>
  <si>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</si>
  <si>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</si>
  <si>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</si>
  <si>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</si>
  <si>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</si>
  <si>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</si>
  <si>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</si>
  <si>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</si>
  <si>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</si>
  <si>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</si>
  <si>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</si>
  <si>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</si>
  <si>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</si>
  <si>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</si>
  <si>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</si>
  <si>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</si>
  <si>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</si>
  <si>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</si>
  <si>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</si>
  <si>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</si>
  <si>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</si>
  <si>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</si>
  <si>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</si>
  <si>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</si>
  <si>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</si>
  <si>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</si>
  <si>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</si>
  <si>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</si>
  <si>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</si>
  <si>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</si>
  <si>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</si>
  <si>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</si>
  <si>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</si>
  <si>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</si>
  <si>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</si>
  <si>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</si>
  <si>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</si>
  <si>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</si>
  <si>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</si>
  <si>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</si>
  <si>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</si>
  <si>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</si>
  <si>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</si>
  <si>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</si>
  <si>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</si>
  <si>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</si>
  <si>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</si>
  <si>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</si>
  <si>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</si>
  <si>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</si>
  <si>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</si>
  <si>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</si>
  <si>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</si>
  <si>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</si>
  <si>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</si>
  <si>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</si>
  <si>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</si>
  <si>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</si>
  <si>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</si>
  <si>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</si>
  <si>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</si>
  <si>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</si>
  <si>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</si>
  <si>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</si>
  <si>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</si>
  <si>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</si>
  <si>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</si>
  <si>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</si>
  <si>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</si>
  <si>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</si>
  <si>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</si>
  <si>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</si>
  <si>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</si>
  <si>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</si>
  <si>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</si>
  <si>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</si>
  <si>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</si>
  <si>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</si>
  <si>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</si>
  <si>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</si>
  <si>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</si>
  <si>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</si>
  <si>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</si>
  <si>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</si>
  <si>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</si>
  <si>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</si>
  <si>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</si>
  <si>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</si>
  <si>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</si>
  <si>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</si>
  <si>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</si>
  <si>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</si>
  <si>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</si>
  <si>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</si>
  <si>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</si>
  <si>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</si>
  <si>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</si>
  <si>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</si>
  <si>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</si>
  <si>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</si>
  <si>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</si>
  <si>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</si>
  <si>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</si>
  <si>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</si>
  <si>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</si>
  <si>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</si>
  <si>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</si>
  <si>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</si>
  <si>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</si>
  <si>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</si>
  <si>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</si>
  <si>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</si>
  <si>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</si>
  <si>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</si>
  <si>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</si>
  <si>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</si>
  <si>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</si>
  <si>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</si>
  <si>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</si>
  <si>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</si>
  <si>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</si>
  <si>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</si>
  <si>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</si>
  <si>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</si>
  <si>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</si>
  <si>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</si>
  <si>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</si>
  <si>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</si>
  <si>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</si>
  <si>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</si>
  <si>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</si>
  <si>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</si>
  <si>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</si>
  <si>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</si>
  <si>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</si>
  <si>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</si>
  <si>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</si>
  <si>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</si>
  <si>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</si>
  <si>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</si>
  <si>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</si>
  <si>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</si>
  <si>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</si>
  <si>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</si>
  <si>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</si>
  <si>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</si>
  <si>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</si>
  <si>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</si>
  <si>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</si>
  <si>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</si>
  <si>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</si>
  <si>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</si>
  <si>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</si>
  <si>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</si>
  <si>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</si>
  <si>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</si>
  <si>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</si>
  <si>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</si>
  <si>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</si>
  <si>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</si>
  <si>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</si>
  <si>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</si>
  <si>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</si>
  <si>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</si>
  <si>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</si>
  <si>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</si>
  <si>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</si>
  <si>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</si>
  <si>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</si>
  <si>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</si>
  <si>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</si>
  <si>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</si>
  <si>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</si>
  <si>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</si>
  <si>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</si>
  <si>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</si>
  <si>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</si>
  <si>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</si>
  <si>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</si>
  <si>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</si>
  <si>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</si>
  <si>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</si>
  <si>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</si>
  <si>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</si>
  <si>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</si>
  <si>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</si>
  <si>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</si>
  <si>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</si>
  <si>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</si>
  <si>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</si>
  <si>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</si>
  <si>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</si>
  <si>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</si>
  <si>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</si>
  <si>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</si>
  <si>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</si>
  <si>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</si>
  <si>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</si>
  <si>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</si>
  <si>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</si>
  <si>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</si>
  <si>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</si>
  <si>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</si>
  <si>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</si>
  <si>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</si>
  <si>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</si>
  <si>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</si>
  <si>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</si>
  <si>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</si>
  <si>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</si>
  <si>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</si>
  <si>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</si>
  <si>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</si>
  <si>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</si>
  <si>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</si>
  <si>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</si>
  <si>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</si>
  <si>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</si>
  <si>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</si>
  <si>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</si>
  <si>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</si>
  <si>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</si>
  <si>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</si>
  <si>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</si>
  <si>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</si>
  <si>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</si>
  <si>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</si>
  <si>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</si>
  <si>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</si>
  <si>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</si>
  <si>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</si>
  <si>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</si>
  <si>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</si>
  <si>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</si>
  <si>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</si>
  <si>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</si>
  <si>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</si>
  <si>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</si>
  <si>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</si>
  <si>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</si>
  <si>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</si>
  <si>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</si>
  <si>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</si>
  <si>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</si>
  <si>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</si>
  <si>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</si>
  <si>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</si>
  <si>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</si>
  <si>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</si>
  <si>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</si>
  <si>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</si>
  <si>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</si>
  <si>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</si>
  <si>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</si>
  <si>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</si>
  <si>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</si>
  <si>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</si>
  <si>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</si>
  <si>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</si>
  <si>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</si>
  <si>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</si>
  <si>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</si>
  <si>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</si>
  <si>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</si>
  <si>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</si>
  <si>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</si>
  <si>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</si>
  <si>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</si>
  <si>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</si>
  <si>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</si>
  <si>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</si>
  <si>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</si>
  <si>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</si>
  <si>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</si>
  <si>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</si>
  <si>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</si>
  <si>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</si>
  <si>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</si>
  <si>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</si>
  <si>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</si>
  <si>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</si>
  <si>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</si>
  <si>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</si>
  <si>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</si>
  <si>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</si>
  <si>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</si>
  <si>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</si>
  <si>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</si>
  <si>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</si>
  <si>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</si>
  <si>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</si>
  <si>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</si>
  <si>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</si>
  <si>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</si>
  <si>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</si>
  <si>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</si>
  <si>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</si>
  <si>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</si>
  <si>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</si>
  <si>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</si>
  <si>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</si>
  <si>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</si>
  <si>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</si>
  <si>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</si>
  <si>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</si>
  <si>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</si>
  <si>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</si>
  <si>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</si>
  <si>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</si>
  <si>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</si>
  <si>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</si>
  <si>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</si>
  <si>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</si>
  <si>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</si>
  <si>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</si>
  <si>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</si>
  <si>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</si>
  <si>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</si>
  <si>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</si>
  <si>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</si>
  <si>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</si>
  <si>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</si>
  <si>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</si>
  <si>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</si>
  <si>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</si>
  <si>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</si>
  <si>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</si>
  <si>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</si>
  <si>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</si>
  <si>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</si>
  <si>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</si>
  <si>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</si>
  <si>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</si>
  <si>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</si>
  <si>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</si>
  <si>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</si>
  <si>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</si>
  <si>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</si>
  <si>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</si>
  <si>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</si>
  <si>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</si>
  <si>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</si>
  <si>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</si>
  <si>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</si>
  <si>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</si>
  <si>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</si>
  <si>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</si>
  <si>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</si>
  <si>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</si>
  <si>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</si>
  <si>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</si>
  <si>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</si>
  <si>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</si>
  <si>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</si>
  <si>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</si>
  <si>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</si>
  <si>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</si>
  <si>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</si>
  <si>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</si>
  <si>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</si>
  <si>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</si>
  <si>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</si>
  <si>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</si>
  <si>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</si>
  <si>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</si>
  <si>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</si>
  <si>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</si>
  <si>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</si>
  <si>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</si>
  <si>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</si>
  <si>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</si>
  <si>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</si>
  <si>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</si>
  <si>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</si>
  <si>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</si>
  <si>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</si>
  <si>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</si>
  <si>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</si>
  <si>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</si>
  <si>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</si>
  <si>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</si>
  <si>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</si>
  <si>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</si>
  <si>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</si>
  <si>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</si>
  <si>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</si>
  <si>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</si>
  <si>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</si>
  <si>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</si>
  <si>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</si>
  <si>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</si>
  <si>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</si>
  <si>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</si>
  <si>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</si>
  <si>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</si>
  <si>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</si>
  <si>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</si>
  <si>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</si>
  <si>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</si>
  <si>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</si>
  <si>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</si>
  <si>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</si>
  <si>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</si>
  <si>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</si>
  <si>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</si>
  <si>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</si>
  <si>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</si>
  <si>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</si>
  <si>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</si>
  <si>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</si>
  <si>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</si>
  <si>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</si>
  <si>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</si>
  <si>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</si>
  <si>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</si>
  <si>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</si>
  <si>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</si>
  <si>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</si>
  <si>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</si>
  <si>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</si>
  <si>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</si>
  <si>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</si>
  <si>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</si>
  <si>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</si>
  <si>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</si>
  <si>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</si>
  <si>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</si>
  <si>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</si>
  <si>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</si>
  <si>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</si>
  <si>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</si>
  <si>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</si>
  <si>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</si>
  <si>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</si>
  <si>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</si>
  <si>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</si>
  <si>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</si>
  <si>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</si>
  <si>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</si>
  <si>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</si>
  <si>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</si>
  <si>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</si>
  <si>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</si>
  <si>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</si>
  <si>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</si>
  <si>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</si>
  <si>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</si>
  <si>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</si>
  <si>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</si>
  <si>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</si>
  <si>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</si>
  <si>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</si>
  <si>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</si>
  <si>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</si>
  <si>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</si>
  <si>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</si>
  <si>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</si>
  <si>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</si>
  <si>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</si>
  <si>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</si>
  <si>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</si>
  <si>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</si>
  <si>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</si>
  <si>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</si>
  <si>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</si>
  <si>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</si>
  <si>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</si>
  <si>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</si>
  <si>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</si>
  <si>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</si>
  <si>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</si>
  <si>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</si>
  <si>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</si>
  <si>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</si>
  <si>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</si>
  <si>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</si>
  <si>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</si>
  <si>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</si>
  <si>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</si>
  <si>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</si>
  <si>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</si>
  <si>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</si>
  <si>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</si>
  <si>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</si>
  <si>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</si>
  <si>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</si>
  <si>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</si>
  <si>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</si>
  <si>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</si>
  <si>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</si>
  <si>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</si>
  <si>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</si>
  <si>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</si>
  <si>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</si>
  <si>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</si>
  <si>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</si>
  <si>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</si>
  <si>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</si>
  <si>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</si>
  <si>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</si>
  <si>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</si>
  <si>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</si>
  <si>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</si>
  <si>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</si>
  <si>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</si>
  <si>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</si>
  <si>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</si>
  <si>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</si>
  <si>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</si>
  <si>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</si>
  <si>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</si>
  <si>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</si>
  <si>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</si>
  <si>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</si>
  <si>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</si>
  <si>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</si>
  <si>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</si>
  <si>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</si>
  <si>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</si>
  <si>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</si>
  <si>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</si>
  <si>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</si>
  <si>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</si>
  <si>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</si>
  <si>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</si>
  <si>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</si>
  <si>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</si>
  <si>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</si>
  <si>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</si>
  <si>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</si>
  <si>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</si>
  <si>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</si>
  <si>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</si>
  <si>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</si>
  <si>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</si>
  <si>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</si>
  <si>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</si>
  <si>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</si>
  <si>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</si>
  <si>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</si>
  <si>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</si>
  <si>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</si>
  <si>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</si>
  <si>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</si>
  <si>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</si>
  <si>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</si>
  <si>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</si>
  <si>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</si>
  <si>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</si>
  <si>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</si>
  <si>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</si>
  <si>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</si>
  <si>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</si>
  <si>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</si>
  <si>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</si>
  <si>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</si>
  <si>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</si>
  <si>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</si>
  <si>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</si>
  <si>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</si>
  <si>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</si>
  <si>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</si>
  <si>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</si>
  <si>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</si>
  <si>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</si>
  <si>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</si>
  <si>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</si>
  <si>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</si>
  <si>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</si>
  <si>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</si>
  <si>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</si>
  <si>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</si>
  <si>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</si>
  <si>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</si>
  <si>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</si>
  <si>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</si>
  <si>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</si>
  <si>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</si>
  <si>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</si>
  <si>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</si>
  <si>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</si>
  <si>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</si>
  <si>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</si>
  <si>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</si>
  <si>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</si>
  <si>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</si>
  <si>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</si>
  <si>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</si>
  <si>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</si>
  <si>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</si>
  <si>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</si>
  <si>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</si>
  <si>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</si>
  <si>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</si>
  <si>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</si>
  <si>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</si>
  <si>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</si>
  <si>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</si>
  <si>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</si>
  <si>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</si>
  <si>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</si>
  <si>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</si>
  <si>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</si>
  <si>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</si>
  <si>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</si>
  <si>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</si>
  <si>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</si>
  <si>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</si>
  <si>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</si>
  <si>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</si>
  <si>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</si>
  <si>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</si>
  <si>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</si>
  <si>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</si>
  <si>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</si>
  <si>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</si>
  <si>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</si>
  <si>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</si>
  <si>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</si>
  <si>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</si>
  <si>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</si>
  <si>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</si>
  <si>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</si>
  <si>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</si>
  <si>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</si>
  <si>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</si>
  <si>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</si>
  <si>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</si>
  <si>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</si>
  <si>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</si>
  <si>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</si>
  <si>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</si>
  <si>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</si>
  <si>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</si>
  <si>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</si>
  <si>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</si>
  <si>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</si>
  <si>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</si>
  <si>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</si>
  <si>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</si>
  <si>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</si>
  <si>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</si>
  <si>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</si>
  <si>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</si>
  <si>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</si>
  <si>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</si>
  <si>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</si>
  <si>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</si>
  <si>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</si>
  <si>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</si>
  <si>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</si>
  <si>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</si>
  <si>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</si>
  <si>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</si>
  <si>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</si>
  <si>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</si>
  <si>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</si>
  <si>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</si>
  <si>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</si>
  <si>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</si>
  <si>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</si>
  <si>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</si>
  <si>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</si>
  <si>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</si>
  <si>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</si>
  <si>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</si>
  <si>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</si>
  <si>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</si>
  <si>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</si>
  <si>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</si>
  <si>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</si>
  <si>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</si>
  <si>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</si>
  <si>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</si>
  <si>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</si>
  <si>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</si>
  <si>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</si>
  <si>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</si>
  <si>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</si>
  <si>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</si>
  <si>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</si>
  <si>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</si>
  <si>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</si>
  <si>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</si>
  <si>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</si>
  <si>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</si>
  <si>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</si>
  <si>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</si>
  <si>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</si>
  <si>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</si>
  <si>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</si>
  <si>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</si>
  <si>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</si>
  <si>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</si>
  <si>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</si>
  <si>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</si>
  <si>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</si>
  <si>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</si>
  <si>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</si>
  <si>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</si>
  <si>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</si>
  <si>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</si>
  <si>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</si>
  <si>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</si>
  <si>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</si>
  <si>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</si>
  <si>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</si>
  <si>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</si>
  <si>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</si>
  <si>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</si>
  <si>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</si>
  <si>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</si>
  <si>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</si>
  <si>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</si>
  <si>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</si>
  <si>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</si>
  <si>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</si>
  <si>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</si>
  <si>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</si>
  <si>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</si>
  <si>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</si>
  <si>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</si>
  <si>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</si>
  <si>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</si>
  <si>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</si>
  <si>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</si>
  <si>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</si>
  <si>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</si>
  <si>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</si>
  <si>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</si>
  <si>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</si>
  <si>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</si>
  <si>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</si>
  <si>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</si>
  <si>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</si>
  <si>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</si>
  <si>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</si>
  <si>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</si>
  <si>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</si>
  <si>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</si>
  <si>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</si>
  <si>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</si>
  <si>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</si>
  <si>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</si>
  <si>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</si>
  <si>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</si>
  <si>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</si>
  <si>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</si>
  <si>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</si>
  <si>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</si>
  <si>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</si>
  <si>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</si>
  <si>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</si>
  <si>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</si>
  <si>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</si>
  <si>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</si>
  <si>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</si>
  <si>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</si>
  <si>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</si>
  <si>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</si>
  <si>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</si>
  <si>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</si>
  <si>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</si>
  <si>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</si>
  <si>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</si>
  <si>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</si>
  <si>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</si>
  <si>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</si>
  <si>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</si>
  <si>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</si>
  <si>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</si>
  <si>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</si>
  <si>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</si>
  <si>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</si>
  <si>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</si>
  <si>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</si>
  <si>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</si>
  <si>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</si>
  <si>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</si>
  <si>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</si>
  <si>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</si>
  <si>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</si>
  <si>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</si>
  <si>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</si>
  <si>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</si>
  <si>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</si>
  <si>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</si>
  <si>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</si>
  <si>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</si>
  <si>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</si>
  <si>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</si>
  <si>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</si>
  <si>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</si>
  <si>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</si>
  <si>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</si>
  <si>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</si>
  <si>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</si>
  <si>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</si>
  <si>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</si>
  <si>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</si>
  <si>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</si>
  <si>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</si>
  <si>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</si>
  <si>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</si>
  <si>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</si>
  <si>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</si>
  <si>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</si>
  <si>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</si>
  <si>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</si>
  <si>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</si>
  <si>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</si>
  <si>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</si>
  <si>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</si>
  <si>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</si>
  <si>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</si>
  <si>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</si>
  <si>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</si>
  <si>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</si>
  <si>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</si>
  <si>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</si>
  <si>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</si>
  <si>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</si>
  <si>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</si>
  <si>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</si>
  <si>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</si>
  <si>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</si>
  <si>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</si>
  <si>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</si>
  <si>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</si>
  <si>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</si>
  <si>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</si>
  <si>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</si>
  <si>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</si>
  <si>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</si>
  <si>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</si>
  <si>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</si>
  <si>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</si>
  <si>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</si>
  <si>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</si>
  <si>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</si>
  <si>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</si>
  <si>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</si>
  <si>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</si>
  <si>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</si>
  <si>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</si>
  <si>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</si>
  <si>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</si>
  <si>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</si>
  <si>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</si>
  <si>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</si>
  <si>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</si>
  <si>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</si>
  <si>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</si>
  <si>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</si>
  <si>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</si>
  <si>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</si>
  <si>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</si>
  <si>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</si>
  <si>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</si>
  <si>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</si>
  <si>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</si>
  <si>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</si>
  <si>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</si>
  <si>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</si>
  <si>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</si>
  <si>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</si>
  <si>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</si>
  <si>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</si>
  <si>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</si>
  <si>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</si>
  <si>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</si>
  <si>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</si>
  <si>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</si>
  <si>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</si>
  <si>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</si>
  <si>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</si>
  <si>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</si>
  <si>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</si>
  <si>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</si>
  <si>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</si>
  <si>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</si>
  <si>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</si>
  <si>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</si>
  <si>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</si>
  <si>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</si>
  <si>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</si>
  <si>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</si>
  <si>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</si>
  <si>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</si>
  <si>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</si>
  <si>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</si>
  <si>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</si>
  <si>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</si>
  <si>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</si>
  <si>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</si>
  <si>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</si>
  <si>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</si>
  <si>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</si>
  <si>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</si>
  <si>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</si>
  <si>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</si>
  <si>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</si>
  <si>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</si>
  <si>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</si>
  <si>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</si>
  <si>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</si>
  <si>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</si>
  <si>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</si>
  <si>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</si>
  <si>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</si>
  <si>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</si>
  <si>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</si>
  <si>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</si>
  <si>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</si>
  <si>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</si>
  <si>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</si>
  <si>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</si>
  <si>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</si>
  <si>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</si>
  <si>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</si>
  <si>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</si>
  <si>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</si>
  <si>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</si>
  <si>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</si>
  <si>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</si>
  <si>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</si>
  <si>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</si>
  <si>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</si>
  <si>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</si>
  <si>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</si>
  <si>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</si>
  <si>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</si>
  <si>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</si>
  <si>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</si>
  <si>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</si>
  <si>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</si>
  <si>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</si>
  <si>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</si>
  <si>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</si>
  <si>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</si>
  <si>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</si>
  <si>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</si>
  <si>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</si>
  <si>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</si>
  <si>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</si>
  <si>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</si>
  <si>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</si>
  <si>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</si>
  <si>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</si>
  <si>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</si>
  <si>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</si>
  <si>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</si>
  <si>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</si>
  <si>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</si>
  <si>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</si>
  <si>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</si>
  <si>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</si>
  <si>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</si>
  <si>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</si>
  <si>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</si>
  <si>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</si>
  <si>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</si>
  <si>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</si>
  <si>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</si>
  <si>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</si>
  <si>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</si>
  <si>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</si>
  <si>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</si>
  <si>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</si>
  <si>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</si>
  <si>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</si>
  <si>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</si>
  <si>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</si>
  <si>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</si>
  <si>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</si>
  <si>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</si>
  <si>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</si>
  <si>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</si>
  <si>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</si>
  <si>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</si>
  <si>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</si>
  <si>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</si>
  <si>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</si>
  <si>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</si>
  <si>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</si>
  <si>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</si>
  <si>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</si>
  <si>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</si>
  <si>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</si>
  <si>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</si>
  <si>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</si>
  <si>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</si>
  <si>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</si>
  <si>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</si>
  <si>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</si>
  <si>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</si>
  <si>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</si>
  <si>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</si>
  <si>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</si>
  <si>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</si>
  <si>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</si>
  <si>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</si>
  <si>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</si>
  <si>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</si>
  <si>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</si>
  <si>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</si>
  <si>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</si>
  <si>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</si>
  <si>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</si>
  <si>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</si>
  <si>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</si>
  <si>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</si>
  <si>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</si>
  <si>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</si>
  <si>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</si>
  <si>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</si>
  <si>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</si>
  <si>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</si>
  <si>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</si>
  <si>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</si>
  <si>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</si>
  <si>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</si>
  <si>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</si>
  <si>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</si>
  <si>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</si>
  <si>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</si>
  <si>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</si>
  <si>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</si>
  <si>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</si>
  <si>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</si>
  <si>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</si>
  <si>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</si>
  <si>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</si>
  <si>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</si>
  <si>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</si>
  <si>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</si>
  <si>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</si>
  <si>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</si>
  <si>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</si>
  <si>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</si>
  <si>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</si>
  <si>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</si>
  <si>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</si>
  <si>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</si>
  <si>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</si>
  <si>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</si>
  <si>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</si>
  <si>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</si>
  <si>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</si>
  <si>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</si>
  <si>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</si>
  <si>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</si>
  <si>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</si>
  <si>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</si>
  <si>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</si>
  <si>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</si>
  <si>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</si>
  <si>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</si>
  <si>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</si>
  <si>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</si>
  <si>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</si>
  <si>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</si>
  <si>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</si>
  <si>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</si>
  <si>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</si>
  <si>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</si>
  <si>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</si>
  <si>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</si>
  <si>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</si>
  <si>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</si>
  <si>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</si>
  <si>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</si>
  <si>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</si>
  <si>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</si>
  <si>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</si>
  <si>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</si>
  <si>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</si>
  <si>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</si>
  <si>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</si>
  <si>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</si>
  <si>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</si>
  <si>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</si>
  <si>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</si>
  <si>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</si>
  <si>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</si>
  <si>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</si>
  <si>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</si>
  <si>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</si>
  <si>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</si>
  <si>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</si>
  <si>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</si>
  <si>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</si>
  <si>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</si>
  <si>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</si>
  <si>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</si>
  <si>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</si>
  <si>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</si>
  <si>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</si>
  <si>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</si>
  <si>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</si>
  <si>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</si>
  <si>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</si>
  <si>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</si>
  <si>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</si>
  <si>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</si>
  <si>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</si>
  <si>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</si>
  <si>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</si>
  <si>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</si>
  <si>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</si>
  <si>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</si>
  <si>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</si>
  <si>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</si>
  <si>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</si>
  <si>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</si>
  <si>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</si>
  <si>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</si>
  <si>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</si>
  <si>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</si>
  <si>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</si>
  <si>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</si>
  <si>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</si>
  <si>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</si>
  <si>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</si>
  <si>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</si>
  <si>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</si>
  <si>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</si>
  <si>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</si>
  <si>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</si>
  <si>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</si>
  <si>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</si>
  <si>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</si>
  <si>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</si>
  <si>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</si>
  <si>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</si>
  <si>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</si>
  <si>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</si>
  <si>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</si>
  <si>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</si>
  <si>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</si>
  <si>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</si>
  <si>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</si>
  <si>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</si>
  <si>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</si>
  <si>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</si>
  <si>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</si>
  <si>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</si>
  <si>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</si>
  <si>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</si>
  <si>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</si>
  <si>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</si>
  <si>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</si>
  <si>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</si>
  <si>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</si>
  <si>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</si>
  <si>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</si>
  <si>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</si>
  <si>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</si>
  <si>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</si>
  <si>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</si>
  <si>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</si>
  <si>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</si>
  <si>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</si>
  <si>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</si>
  <si>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</si>
  <si>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</si>
  <si>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</si>
  <si>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</si>
  <si>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</si>
  <si>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</si>
  <si>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</si>
  <si>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</si>
  <si>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</si>
  <si>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</si>
  <si>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</si>
  <si>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</si>
  <si>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</si>
  <si>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</si>
  <si>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</si>
  <si>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</si>
  <si>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</si>
  <si>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</si>
  <si>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</si>
  <si>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</si>
  <si>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</si>
  <si>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</si>
  <si>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</si>
  <si>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</si>
  <si>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</si>
  <si>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</si>
  <si>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</si>
  <si>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</si>
  <si>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</si>
  <si>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</si>
  <si>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</si>
  <si>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</si>
  <si>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</si>
  <si>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</si>
  <si>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</si>
  <si>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</si>
  <si>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</si>
  <si>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</si>
  <si>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</si>
  <si>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</si>
  <si>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</si>
  <si>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</si>
  <si>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</si>
  <si>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</si>
  <si>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</si>
  <si>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</si>
  <si>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</si>
  <si>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</si>
  <si>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</si>
  <si>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</si>
  <si>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</si>
  <si>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</si>
  <si>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</si>
  <si>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</si>
  <si>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</si>
  <si>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</si>
  <si>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</si>
  <si>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</si>
  <si>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</si>
  <si>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</si>
  <si>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</si>
  <si>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</si>
  <si>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</si>
  <si>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</si>
  <si>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</si>
  <si>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</si>
  <si>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</si>
  <si>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</si>
  <si>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</si>
  <si>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</si>
  <si>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</si>
  <si>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</si>
  <si>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</si>
  <si>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</si>
  <si>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</si>
  <si>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</si>
  <si>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</si>
  <si>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</si>
  <si>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</si>
  <si>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</si>
  <si>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</si>
  <si>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</si>
  <si>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</si>
  <si>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</si>
  <si>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</si>
  <si>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</si>
  <si>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</si>
  <si>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</si>
  <si>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</si>
  <si>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</si>
  <si>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</si>
  <si>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</si>
  <si>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</si>
  <si>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</si>
  <si>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</si>
  <si>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</si>
  <si>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</si>
  <si>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</si>
  <si>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</si>
  <si>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</si>
  <si>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</si>
  <si>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</si>
  <si>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</si>
  <si>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</si>
  <si>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</si>
  <si>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</si>
  <si>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</si>
  <si>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</si>
  <si>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</si>
  <si>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</si>
  <si>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</si>
  <si>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</si>
  <si>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</si>
  <si>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</si>
  <si>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</si>
  <si>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</si>
  <si>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</si>
  <si>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</si>
  <si>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</si>
  <si>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</si>
  <si>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</si>
  <si>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</si>
  <si>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</si>
  <si>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</si>
  <si>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</si>
  <si>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</si>
  <si>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</si>
  <si>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</si>
  <si>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</si>
  <si>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</si>
  <si>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</si>
  <si>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</si>
  <si>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</si>
  <si>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</si>
  <si>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</si>
  <si>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</si>
  <si>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</si>
  <si>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</si>
  <si>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</si>
  <si>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</si>
  <si>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</si>
  <si>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</si>
  <si>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</si>
  <si>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</si>
  <si>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</si>
  <si>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</si>
  <si>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</si>
  <si>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</si>
  <si>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</si>
  <si>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</si>
  <si>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</si>
  <si>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</si>
  <si>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</si>
  <si>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</si>
  <si>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</si>
  <si>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</si>
  <si>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</si>
  <si>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</si>
  <si>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</si>
  <si>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</si>
  <si>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</si>
  <si>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</si>
  <si>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</si>
  <si>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</si>
  <si>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</si>
  <si>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</si>
  <si>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</si>
  <si>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</si>
  <si>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</si>
  <si>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</si>
  <si>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</si>
  <si>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</si>
  <si>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</si>
  <si>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</si>
  <si>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</si>
  <si>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</si>
  <si>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</si>
  <si>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</si>
  <si>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</si>
  <si>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</si>
  <si>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</si>
  <si>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</si>
  <si>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</si>
  <si>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</si>
  <si>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</si>
  <si>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</si>
  <si>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</si>
  <si>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</si>
  <si>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</si>
  <si>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</si>
  <si>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</si>
  <si>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</si>
  <si>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</si>
  <si>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</si>
  <si>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</si>
  <si>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</si>
  <si>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</si>
  <si>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</si>
  <si>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</si>
  <si>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</si>
  <si>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</si>
  <si>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</si>
  <si>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</si>
  <si>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</si>
  <si>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</si>
  <si>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</si>
  <si>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</si>
  <si>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</si>
  <si>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</si>
  <si>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</si>
  <si>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</si>
  <si>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</si>
  <si>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</si>
  <si>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</si>
  <si>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</si>
  <si>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</si>
  <si>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</si>
  <si>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</si>
  <si>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</si>
  <si>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</si>
  <si>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</si>
  <si>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</si>
  <si>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</si>
  <si>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</si>
  <si>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</si>
  <si>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</si>
  <si>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</si>
  <si>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</si>
  <si>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</si>
  <si>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</si>
  <si>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</si>
  <si>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</si>
  <si>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</si>
  <si>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</si>
  <si>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</si>
  <si>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</si>
  <si>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</si>
  <si>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</si>
  <si>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</si>
  <si>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</si>
  <si>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</si>
  <si>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</si>
  <si>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</si>
  <si>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</si>
  <si>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</si>
  <si>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</si>
  <si>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</si>
  <si>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</si>
  <si>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</si>
  <si>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</si>
  <si>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</si>
  <si>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</si>
  <si>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</si>
  <si>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</si>
  <si>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</si>
  <si>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</si>
  <si>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</si>
  <si>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</si>
  <si>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</si>
  <si>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</si>
  <si>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</si>
  <si>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</si>
  <si>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</si>
  <si>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</si>
  <si>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</si>
  <si>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</si>
  <si>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</si>
  <si>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</si>
  <si>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</si>
  <si>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</si>
  <si>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</si>
  <si>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</si>
  <si>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</si>
  <si>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</si>
  <si>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</si>
  <si>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</si>
  <si>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</si>
  <si>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</si>
  <si>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</si>
  <si>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</si>
  <si>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</si>
  <si>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</si>
  <si>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</si>
  <si>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</si>
  <si>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</si>
  <si>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</si>
  <si>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</si>
  <si>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</si>
  <si>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</si>
  <si>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</si>
  <si>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</si>
  <si>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</si>
  <si>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</si>
  <si>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</si>
  <si>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</si>
  <si>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</si>
  <si>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</si>
  <si>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</si>
  <si>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</si>
  <si>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</si>
  <si>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</si>
  <si>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</si>
  <si>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</si>
  <si>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</si>
  <si>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</si>
  <si>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</si>
  <si>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</si>
  <si>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</si>
  <si>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</si>
  <si>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</si>
  <si>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</si>
  <si>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</si>
  <si>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</si>
  <si>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</si>
  <si>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</si>
  <si>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</si>
  <si>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</si>
  <si>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</si>
  <si>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</si>
  <si>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</si>
  <si>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</si>
  <si>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</si>
  <si>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</si>
  <si>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</si>
  <si>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</si>
  <si>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</si>
  <si>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</si>
  <si>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</si>
  <si>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</si>
  <si>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</si>
  <si>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</si>
  <si>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</si>
  <si>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</si>
  <si>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</si>
  <si>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</si>
  <si>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</si>
  <si>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</si>
  <si>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</si>
  <si>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</si>
  <si>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</si>
  <si>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</si>
  <si>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</si>
  <si>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</si>
  <si>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</si>
  <si>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</si>
  <si>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</si>
  <si>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</si>
  <si>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</si>
  <si>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</si>
  <si>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</si>
  <si>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</si>
  <si>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</si>
  <si>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</si>
  <si>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</si>
  <si>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</si>
  <si>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</si>
  <si>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</si>
  <si>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</si>
  <si>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</si>
  <si>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</si>
  <si>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</si>
  <si>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</si>
  <si>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</si>
  <si>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</si>
  <si>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</si>
  <si>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</si>
  <si>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</si>
  <si>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</si>
  <si>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</si>
  <si>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</si>
  <si>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</si>
  <si>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</si>
  <si>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</si>
  <si>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</si>
  <si>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</si>
  <si>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</si>
  <si>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</si>
  <si>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</si>
  <si>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</si>
  <si>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</si>
  <si>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</si>
  <si>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</si>
  <si>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</si>
  <si>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</si>
  <si>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</si>
  <si>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</si>
  <si>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</si>
  <si>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</si>
  <si>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</si>
  <si>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</si>
  <si>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</si>
  <si>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</si>
  <si>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</si>
  <si>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</si>
  <si>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</si>
  <si>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</si>
  <si>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</si>
  <si>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</si>
  <si>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</si>
  <si>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</si>
  <si>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</si>
  <si>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</si>
  <si>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</si>
  <si>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</si>
  <si>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</si>
  <si>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</si>
  <si>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</si>
  <si>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</si>
  <si>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</si>
  <si>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</si>
  <si>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</si>
  <si>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</si>
  <si>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</si>
  <si>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</si>
  <si>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</si>
  <si>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</si>
  <si>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</si>
  <si>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</si>
  <si>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</si>
  <si>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</si>
  <si>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</si>
  <si>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</si>
  <si>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</si>
  <si>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</si>
  <si>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</si>
  <si>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</si>
  <si>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</si>
  <si>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</si>
  <si>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</si>
  <si>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</si>
  <si>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</si>
  <si>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</si>
  <si>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</si>
  <si>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</si>
  <si>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</si>
  <si>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</si>
  <si>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</si>
  <si>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</si>
  <si>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</si>
  <si>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</si>
  <si>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</si>
  <si>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</si>
  <si>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</si>
  <si>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</si>
  <si>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</si>
  <si>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</si>
  <si>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</si>
  <si>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</si>
  <si>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</si>
  <si>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</si>
  <si>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</si>
  <si>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</si>
  <si>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</si>
  <si>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</si>
  <si>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</si>
  <si>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</si>
  <si>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</si>
  <si>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</si>
  <si>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</si>
  <si>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</si>
  <si>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</si>
  <si>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</si>
  <si>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</si>
  <si>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</si>
  <si>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</si>
  <si>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</si>
  <si>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</si>
  <si>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</si>
  <si>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</si>
  <si>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</si>
  <si>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</si>
  <si>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</si>
  <si>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</si>
  <si>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</si>
  <si>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</si>
  <si>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</si>
  <si>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</si>
  <si>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</si>
  <si>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</si>
  <si>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</si>
  <si>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</si>
  <si>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</si>
  <si>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</si>
  <si>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</si>
  <si>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</si>
  <si>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</si>
  <si>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</si>
  <si>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</si>
  <si>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</si>
  <si>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</si>
  <si>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</si>
  <si>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</si>
  <si>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</si>
  <si>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</si>
  <si>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</si>
  <si>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</si>
  <si>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</si>
  <si>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</si>
  <si>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</si>
  <si>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</si>
  <si>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</si>
  <si>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</si>
  <si>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</si>
  <si>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</si>
  <si>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</si>
  <si>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</si>
  <si>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</si>
  <si>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</si>
  <si>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</si>
  <si>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</si>
  <si>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</si>
  <si>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</si>
  <si>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</si>
  <si>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</si>
  <si>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</si>
  <si>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</si>
  <si>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</si>
  <si>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</si>
  <si>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</si>
  <si>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</si>
  <si>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</si>
  <si>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</si>
  <si>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</si>
  <si>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</si>
  <si>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</si>
  <si>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</si>
  <si>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</si>
  <si>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</si>
  <si>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</si>
  <si>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</si>
  <si>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</si>
  <si>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</si>
  <si>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</si>
  <si>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</si>
  <si>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</si>
  <si>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</si>
  <si>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</si>
  <si>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</si>
  <si>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</si>
  <si>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</si>
  <si>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</si>
  <si>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</si>
  <si>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</si>
  <si>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</si>
  <si>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</si>
  <si>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</si>
  <si>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</si>
  <si>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</si>
  <si>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</si>
  <si>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</si>
  <si>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</si>
  <si>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</si>
  <si>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</si>
  <si>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</si>
  <si>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</si>
  <si>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</si>
  <si>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</si>
  <si>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</si>
  <si>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</si>
  <si>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</si>
  <si>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</si>
  <si>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</si>
  <si>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</si>
  <si>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</si>
  <si>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</si>
  <si>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</si>
  <si>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</si>
  <si>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</si>
  <si>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</si>
  <si>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</si>
  <si>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</si>
  <si>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</si>
  <si>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</si>
  <si>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</si>
  <si>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</si>
  <si>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</si>
  <si>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</si>
  <si>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</si>
  <si>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</si>
  <si>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</si>
  <si>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</si>
  <si>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</si>
  <si>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</si>
  <si>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</si>
  <si>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</si>
  <si>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</si>
  <si>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</si>
  <si>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</si>
  <si>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</si>
  <si>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</si>
  <si>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</si>
  <si>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</si>
  <si>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</si>
  <si>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</si>
  <si>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</si>
  <si>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</si>
  <si>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</si>
  <si>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</si>
  <si>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</si>
  <si>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</si>
  <si>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</si>
  <si>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</si>
  <si>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</si>
  <si>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</si>
  <si>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</si>
  <si>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</si>
  <si>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</si>
  <si>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</si>
  <si>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</si>
  <si>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</si>
  <si>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</si>
  <si>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</si>
  <si>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</si>
  <si>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</si>
  <si>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</si>
  <si>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</si>
  <si>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</si>
  <si>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</si>
  <si>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</si>
  <si>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</si>
  <si>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</si>
  <si>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</si>
  <si>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</si>
  <si>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</si>
  <si>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</si>
  <si>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</si>
  <si>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</si>
  <si>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</si>
  <si>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</si>
  <si>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</si>
  <si>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</si>
  <si>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</si>
  <si>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</si>
  <si>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</si>
  <si>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</si>
  <si>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</si>
  <si>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</si>
  <si>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</si>
  <si>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</si>
  <si>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</si>
  <si>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</si>
  <si>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</si>
  <si>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</si>
  <si>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</si>
  <si>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</si>
  <si>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</si>
  <si>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</si>
  <si>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</si>
  <si>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</si>
  <si>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</si>
  <si>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</si>
  <si>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</si>
  <si>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</si>
  <si>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</si>
  <si>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</si>
  <si>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</si>
  <si>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</si>
  <si>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</si>
  <si>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</si>
  <si>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</si>
  <si>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</si>
  <si>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</si>
  <si>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</si>
  <si>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</si>
  <si>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</si>
  <si>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</si>
  <si>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</si>
  <si>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</si>
  <si>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</si>
  <si>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</si>
  <si>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</si>
  <si>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</si>
  <si>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</si>
  <si>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</si>
  <si>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</si>
  <si>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</si>
  <si>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</si>
  <si>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</si>
  <si>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</si>
  <si>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</si>
  <si>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</si>
  <si>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</si>
  <si>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</si>
  <si>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</si>
  <si>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</si>
  <si>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</si>
  <si>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</si>
  <si>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</si>
  <si>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</si>
  <si>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</si>
  <si>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</si>
  <si>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</si>
  <si>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</si>
  <si>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</si>
  <si>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</si>
  <si>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</si>
  <si>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</si>
  <si>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</si>
  <si>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</si>
  <si>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</si>
  <si>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</si>
  <si>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</si>
  <si>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</si>
  <si>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</si>
  <si>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</si>
  <si>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</si>
  <si>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</si>
  <si>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</si>
  <si>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</si>
  <si>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</si>
  <si>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</si>
  <si>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</si>
  <si>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</si>
  <si>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</si>
  <si>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</si>
  <si>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</si>
  <si>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</si>
  <si>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</si>
  <si>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</si>
  <si>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</si>
  <si>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</si>
  <si>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</si>
  <si>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</si>
  <si>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</si>
  <si>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</si>
  <si>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</si>
  <si>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</si>
  <si>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</si>
  <si>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</si>
  <si>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</si>
  <si>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</si>
  <si>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</si>
  <si>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</si>
  <si>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</si>
  <si>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</si>
  <si>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</si>
  <si>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</si>
  <si>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</si>
  <si>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</si>
  <si>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</si>
  <si>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</si>
  <si>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</si>
  <si>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</si>
  <si>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</si>
  <si>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</si>
  <si>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</si>
  <si>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</si>
  <si>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</si>
  <si>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</si>
  <si>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</si>
  <si>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</si>
  <si>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</si>
  <si>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</si>
  <si>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</si>
  <si>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</si>
  <si>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</si>
  <si>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</si>
  <si>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</si>
  <si>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</si>
  <si>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</si>
  <si>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</si>
  <si>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</si>
  <si>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</si>
  <si>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</si>
  <si>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</si>
  <si>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</si>
  <si>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</si>
  <si>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</si>
  <si>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</si>
  <si>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</si>
  <si>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</si>
  <si>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</si>
  <si>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</si>
  <si>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</si>
  <si>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</si>
  <si>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</si>
  <si>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</si>
  <si>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</si>
  <si>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</si>
  <si>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</si>
  <si>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</si>
  <si>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</si>
  <si>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</si>
  <si>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</si>
  <si>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</si>
  <si>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</si>
  <si>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</si>
  <si>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</si>
  <si>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</si>
  <si>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</si>
  <si>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</si>
  <si>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</si>
  <si>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</si>
  <si>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</si>
  <si>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</si>
  <si>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</si>
  <si>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</si>
  <si>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</si>
  <si>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</si>
  <si>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</si>
  <si>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</si>
  <si>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</si>
  <si>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</si>
  <si>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</si>
  <si>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</si>
  <si>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</si>
  <si>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</si>
  <si>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</si>
  <si>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</si>
  <si>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</si>
  <si>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</si>
  <si>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</si>
  <si>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</si>
  <si>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</si>
  <si>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</si>
  <si>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</si>
  <si>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</si>
  <si>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</si>
  <si>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</si>
  <si>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</si>
  <si>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</si>
  <si>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</si>
  <si>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</si>
  <si>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</si>
  <si>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</si>
  <si>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</si>
  <si>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</si>
  <si>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</si>
  <si>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</si>
  <si>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</si>
  <si>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</si>
  <si>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</si>
  <si>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</si>
  <si>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</si>
  <si>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</si>
  <si>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</si>
  <si>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</si>
  <si>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</si>
  <si>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</si>
  <si>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</si>
  <si>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</si>
  <si>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</si>
  <si>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</si>
  <si>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</si>
  <si>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</si>
  <si>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</si>
  <si>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</si>
  <si>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</si>
  <si>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</si>
  <si>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</si>
  <si>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</si>
  <si>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</si>
  <si>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</si>
  <si>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</si>
  <si>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</si>
  <si>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</si>
  <si>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</si>
  <si>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</si>
  <si>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</si>
  <si>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</si>
  <si>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</si>
  <si>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</si>
  <si>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</si>
  <si>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</si>
  <si>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</si>
  <si>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</si>
  <si>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</si>
  <si>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</si>
  <si>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</si>
  <si>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</si>
  <si>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</si>
  <si>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</si>
  <si>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</si>
  <si>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</si>
  <si>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</si>
  <si>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</si>
  <si>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</si>
  <si>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</si>
  <si>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</si>
  <si>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</si>
  <si>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</si>
  <si>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</si>
  <si>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</si>
  <si>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</si>
  <si>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</si>
  <si>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</si>
  <si>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</si>
  <si>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</si>
  <si>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</si>
  <si>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</si>
  <si>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</si>
  <si>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</si>
  <si>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</si>
  <si>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</si>
  <si>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</si>
  <si>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</si>
  <si>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</si>
  <si>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</si>
  <si>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</si>
  <si>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</si>
  <si>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</si>
  <si>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</si>
  <si>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</si>
  <si>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</si>
  <si>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</si>
  <si>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</si>
  <si>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</si>
  <si>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</si>
  <si>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</si>
  <si>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</si>
  <si>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</si>
  <si>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</si>
  <si>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</si>
  <si>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</si>
  <si>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</si>
  <si>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</si>
  <si>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</si>
  <si>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</si>
  <si>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</si>
  <si>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</si>
  <si>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</si>
  <si>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</si>
  <si>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</si>
  <si>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</si>
  <si>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</si>
  <si>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</si>
  <si>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</si>
  <si>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</si>
  <si>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</si>
  <si>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</si>
  <si>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</si>
  <si>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</si>
  <si>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</si>
  <si>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</si>
  <si>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</si>
  <si>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</si>
  <si>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</si>
  <si>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</si>
  <si>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</si>
  <si>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</si>
  <si>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</si>
  <si>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</si>
  <si>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</si>
  <si>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</si>
  <si>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</si>
  <si>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</si>
  <si>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</si>
  <si>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</si>
  <si>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</si>
  <si>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</si>
  <si>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</si>
  <si>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</si>
  <si>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</si>
  <si>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</si>
  <si>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</si>
  <si>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</si>
  <si>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</si>
  <si>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</si>
  <si>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</si>
  <si>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</si>
  <si>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</si>
  <si>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</si>
  <si>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</si>
  <si>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</si>
  <si>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</si>
  <si>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</si>
  <si>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</si>
  <si>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</si>
  <si>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</si>
  <si>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</si>
  <si>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</si>
  <si>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</si>
  <si>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</si>
  <si>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</si>
  <si>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</si>
  <si>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</si>
  <si>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</si>
  <si>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</si>
  <si>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</si>
  <si>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</si>
  <si>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</si>
  <si>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</si>
  <si>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</si>
  <si>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</si>
  <si>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</si>
  <si>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</si>
  <si>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</si>
  <si>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</si>
  <si>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</si>
  <si>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</si>
  <si>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</si>
  <si>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</si>
  <si>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</si>
  <si>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</si>
  <si>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</si>
  <si>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</si>
  <si>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</si>
  <si>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</si>
  <si>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</si>
  <si>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</si>
  <si>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</si>
  <si>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</si>
  <si>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</si>
  <si>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</si>
  <si>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</si>
  <si>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</si>
  <si>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</si>
  <si>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</si>
  <si>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</si>
  <si>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</si>
  <si>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</si>
  <si>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</si>
  <si>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</si>
  <si>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</si>
  <si>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</si>
  <si>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</si>
  <si>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</si>
  <si>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</si>
  <si>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</si>
  <si>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</si>
  <si>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</si>
  <si>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</si>
  <si>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</si>
  <si>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</si>
  <si>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</si>
  <si>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</si>
  <si>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</si>
  <si>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</si>
  <si>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</si>
  <si>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</si>
  <si>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</si>
  <si>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</si>
  <si>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</si>
  <si>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</si>
  <si>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</si>
  <si>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</si>
  <si>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</si>
  <si>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</si>
  <si>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</si>
  <si>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</si>
  <si>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</si>
  <si>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</si>
  <si>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</si>
  <si>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</si>
  <si>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</si>
  <si>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</si>
  <si>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</si>
  <si>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</si>
  <si>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</si>
  <si>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</si>
  <si>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</si>
  <si>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</si>
  <si>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</si>
  <si>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</si>
  <si>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</si>
  <si>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</si>
  <si>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</si>
  <si>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</si>
  <si>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</si>
  <si>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</si>
  <si>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</si>
  <si>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</si>
  <si>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</si>
  <si>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</si>
  <si>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</si>
  <si>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</si>
  <si>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</si>
  <si>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</si>
  <si>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</si>
  <si>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</si>
  <si>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</si>
  <si>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</si>
  <si>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</si>
  <si>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</si>
  <si>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</si>
  <si>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</si>
  <si>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</si>
  <si>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</si>
  <si>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</si>
  <si>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</si>
  <si>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</si>
  <si>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</si>
  <si>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</si>
  <si>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</si>
  <si>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</si>
  <si>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</si>
  <si>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</si>
  <si>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</si>
  <si>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</si>
  <si>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</si>
  <si>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</si>
  <si>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</si>
  <si>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</si>
  <si>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</si>
  <si>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</si>
  <si>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</si>
  <si>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</si>
  <si>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</si>
  <si>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</si>
  <si>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</si>
  <si>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</si>
  <si>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</si>
  <si>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</si>
  <si>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</si>
  <si>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</si>
  <si>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</si>
  <si>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</si>
  <si>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</si>
  <si>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</si>
  <si>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</si>
  <si>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</si>
  <si>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</si>
  <si>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</si>
  <si>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</si>
  <si>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</si>
  <si>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</si>
  <si>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</si>
  <si>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</si>
  <si>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</si>
  <si>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</si>
  <si>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</si>
  <si>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</si>
  <si>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</si>
  <si>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</si>
  <si>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</si>
  <si>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</si>
  <si>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</si>
  <si>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</si>
  <si>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</si>
  <si>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</si>
  <si>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</si>
  <si>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</si>
  <si>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</si>
  <si>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</si>
  <si>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</si>
  <si>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</si>
  <si>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</si>
  <si>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</si>
  <si>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</si>
  <si>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</si>
  <si>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</si>
  <si>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</si>
  <si>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</si>
  <si>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</si>
  <si>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</si>
  <si>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</si>
  <si>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</si>
  <si>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</si>
  <si>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</si>
  <si>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</si>
  <si>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</si>
  <si>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</si>
  <si>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</si>
  <si>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</si>
  <si>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</si>
  <si>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</si>
  <si>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</si>
  <si>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</si>
  <si>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</si>
  <si>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</si>
  <si>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</si>
  <si>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</si>
  <si>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</si>
  <si>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</si>
  <si>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</si>
  <si>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</si>
  <si>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</si>
  <si>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</si>
  <si>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</si>
  <si>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</si>
  <si>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</si>
  <si>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</si>
  <si>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</si>
  <si>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</si>
  <si>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</si>
  <si>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</si>
  <si>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</si>
  <si>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</si>
  <si>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</si>
  <si>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</si>
  <si>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</si>
  <si>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</si>
  <si>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</si>
  <si>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</si>
  <si>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</si>
  <si>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</si>
  <si>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</si>
  <si>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</si>
  <si>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</si>
  <si>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</si>
  <si>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</si>
  <si>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</si>
  <si>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</si>
  <si>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</si>
  <si>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</si>
  <si>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</si>
  <si>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</si>
  <si>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</si>
  <si>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</si>
  <si>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</si>
  <si>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</si>
  <si>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</si>
  <si>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</si>
  <si>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</si>
  <si>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</si>
  <si>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</si>
  <si>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</si>
  <si>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</si>
  <si>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</si>
  <si>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</si>
  <si>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</si>
  <si>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</si>
  <si>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</si>
  <si>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</si>
  <si>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</si>
  <si>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</si>
  <si>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</si>
  <si>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</si>
  <si>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</si>
  <si>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</si>
  <si>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</si>
  <si>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</si>
  <si>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</si>
  <si>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</si>
  <si>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</si>
  <si>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</si>
  <si>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</si>
  <si>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</si>
  <si>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</si>
  <si>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</si>
  <si>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</si>
  <si>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</si>
  <si>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</si>
  <si>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</si>
  <si>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</si>
  <si>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</si>
  <si>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</si>
  <si>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</si>
  <si>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</si>
  <si>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</si>
  <si>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</si>
  <si>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</si>
  <si>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</si>
  <si>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</si>
  <si>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</si>
  <si>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</si>
  <si>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</si>
  <si>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</si>
  <si>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</si>
  <si>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</si>
  <si>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</si>
  <si>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</si>
  <si>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</si>
  <si>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</si>
  <si>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</si>
  <si>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</si>
  <si>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</si>
  <si>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</si>
  <si>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</si>
  <si>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</si>
  <si>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</si>
  <si>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</si>
  <si>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</si>
  <si>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</si>
  <si>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</si>
  <si>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</si>
  <si>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</si>
  <si>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</si>
  <si>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</si>
  <si>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</si>
  <si>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</si>
  <si>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</si>
  <si>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</si>
  <si>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</si>
  <si>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</si>
  <si>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</si>
  <si>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</si>
  <si>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</si>
  <si>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</si>
  <si>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</si>
  <si>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</si>
  <si>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</si>
  <si>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</si>
  <si>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</si>
  <si>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</si>
  <si>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</si>
  <si>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</si>
  <si>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</si>
  <si>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</si>
  <si>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</si>
  <si>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</si>
  <si>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</si>
  <si>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</si>
  <si>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</si>
  <si>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</si>
  <si>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</si>
  <si>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</si>
  <si>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</si>
  <si>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</si>
  <si>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</si>
  <si>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</si>
  <si>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</si>
  <si>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</si>
  <si>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</si>
  <si>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</si>
  <si>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</si>
  <si>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</si>
  <si>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</si>
  <si>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</si>
  <si>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</si>
  <si>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</si>
  <si>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</si>
  <si>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</si>
  <si>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</si>
  <si>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</si>
  <si>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</si>
  <si>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</si>
  <si>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</si>
  <si>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</si>
  <si>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</si>
  <si>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</si>
  <si>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</si>
  <si>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</si>
  <si>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</si>
  <si>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</si>
  <si>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</si>
  <si>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</si>
  <si>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</si>
  <si>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</si>
  <si>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</si>
  <si>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</si>
  <si>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</si>
  <si>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</si>
  <si>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</si>
  <si>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</si>
  <si>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</si>
  <si>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</si>
  <si>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</si>
  <si>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</si>
  <si>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</si>
  <si>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</si>
  <si>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</si>
  <si>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</si>
  <si>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</si>
  <si>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</si>
  <si>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</si>
  <si>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</si>
  <si>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</si>
  <si>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</si>
  <si>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</si>
  <si>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</si>
  <si>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</si>
  <si>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</si>
  <si>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</si>
  <si>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</si>
  <si>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</si>
  <si>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</si>
  <si>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</si>
  <si>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</si>
  <si>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</si>
  <si>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</si>
  <si>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</si>
  <si>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</si>
  <si>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</si>
  <si>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</si>
  <si>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</si>
  <si>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</si>
  <si>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</si>
  <si>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</si>
  <si>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</si>
  <si>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</si>
  <si>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</si>
  <si>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</si>
  <si>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</si>
  <si>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</si>
  <si>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</si>
  <si>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</si>
  <si>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</si>
  <si>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</si>
  <si>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</si>
  <si>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</si>
  <si>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</si>
  <si>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</si>
  <si>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</si>
  <si>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</si>
  <si>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</si>
  <si>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</si>
  <si>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</si>
  <si>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</si>
  <si>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</si>
  <si>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</si>
  <si>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</si>
  <si>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</si>
  <si>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</si>
  <si>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</si>
  <si>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</si>
  <si>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</si>
  <si>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</si>
  <si>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</si>
  <si>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</si>
  <si>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</si>
  <si>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</si>
  <si>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</si>
  <si>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</si>
  <si>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</si>
  <si>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</si>
  <si>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</si>
  <si>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</si>
  <si>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</si>
  <si>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</si>
  <si>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</si>
  <si>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</si>
  <si>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</si>
  <si>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</si>
  <si>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</si>
  <si>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</si>
  <si>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</si>
  <si>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</si>
  <si>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</si>
  <si>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</si>
  <si>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</si>
  <si>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</si>
  <si>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</si>
  <si>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</si>
  <si>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</si>
  <si>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</si>
  <si>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</si>
  <si>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</si>
  <si>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</si>
  <si>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</si>
  <si>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</si>
  <si>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</si>
  <si>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</si>
  <si>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</si>
  <si>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</si>
  <si>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</si>
  <si>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</si>
  <si>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</si>
  <si>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</si>
  <si>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</si>
  <si>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</si>
  <si>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</si>
  <si>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</si>
  <si>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</si>
  <si>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</si>
  <si>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</si>
  <si>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</si>
  <si>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</si>
  <si>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</si>
  <si>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</si>
  <si>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</si>
  <si>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</si>
  <si>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</si>
  <si>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</si>
  <si>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</si>
  <si>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</si>
  <si>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</si>
  <si>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</si>
  <si>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</si>
  <si>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</si>
  <si>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</si>
  <si>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</si>
  <si>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</si>
  <si>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</si>
  <si>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</si>
  <si>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</si>
  <si>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</si>
  <si>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</si>
  <si>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</si>
  <si>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</si>
  <si>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</si>
  <si>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</si>
  <si>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</si>
  <si>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</si>
  <si>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</si>
  <si>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</si>
  <si>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</si>
  <si>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</si>
  <si>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</si>
  <si>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</si>
  <si>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</si>
  <si>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</si>
  <si>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</si>
  <si>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</si>
  <si>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</si>
  <si>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</si>
  <si>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</si>
  <si>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</si>
  <si>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</si>
  <si>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</si>
  <si>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</si>
  <si>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</si>
  <si>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</si>
  <si>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</si>
  <si>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</si>
  <si>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</si>
  <si>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</si>
  <si>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</si>
  <si>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</si>
  <si>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</si>
  <si>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</si>
  <si>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</si>
  <si>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</si>
  <si>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</si>
  <si>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</si>
  <si>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</si>
  <si>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</si>
  <si>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</si>
  <si>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</si>
  <si>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</si>
  <si>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</si>
  <si>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</si>
  <si>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</si>
  <si>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</si>
  <si>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</si>
  <si>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</si>
  <si>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</si>
  <si>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</si>
  <si>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</si>
  <si>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</si>
  <si>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</si>
  <si>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</si>
  <si>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</si>
  <si>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</si>
  <si>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</si>
  <si>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</si>
  <si>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</si>
  <si>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</si>
  <si>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</si>
  <si>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</si>
  <si>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</si>
  <si>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</si>
  <si>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</si>
  <si>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</si>
  <si>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</si>
  <si>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</si>
  <si>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</si>
  <si>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</si>
  <si>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</si>
  <si>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</si>
  <si>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</si>
  <si>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</si>
  <si>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</si>
  <si>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</si>
  <si>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</si>
  <si>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</si>
  <si>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</si>
  <si>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</si>
  <si>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</si>
  <si>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</si>
  <si>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</si>
  <si>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</si>
  <si>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</si>
  <si>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</si>
  <si>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</si>
  <si>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</si>
  <si>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</si>
  <si>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</si>
  <si>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</si>
  <si>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</si>
  <si>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</si>
  <si>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</si>
  <si>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</si>
  <si>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</si>
  <si>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</si>
  <si>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</si>
  <si>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</si>
  <si>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</si>
  <si>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</si>
  <si>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</si>
  <si>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</si>
  <si>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</si>
  <si>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</si>
  <si>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</si>
  <si>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</si>
  <si>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</si>
  <si>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</si>
  <si>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</si>
  <si>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</si>
  <si>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</si>
  <si>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</si>
  <si>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</si>
  <si>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</si>
  <si>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</si>
  <si>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</si>
  <si>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</si>
  <si>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</si>
  <si>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</si>
  <si>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</si>
  <si>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</si>
  <si>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</si>
  <si>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</si>
  <si>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</si>
  <si>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</si>
  <si>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</si>
  <si>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</si>
  <si>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</si>
  <si>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</si>
  <si>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</si>
  <si>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</si>
  <si>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</si>
  <si>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</si>
  <si>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</si>
  <si>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</si>
  <si>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</si>
  <si>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</si>
  <si>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</si>
  <si>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</si>
  <si>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</si>
  <si>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</si>
  <si>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</si>
  <si>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</si>
  <si>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</si>
  <si>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</si>
  <si>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</si>
  <si>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</si>
  <si>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</si>
  <si>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</si>
  <si>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</si>
  <si>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</si>
  <si>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</si>
  <si>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</si>
  <si>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</si>
  <si>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</si>
  <si>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</si>
  <si>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</si>
  <si>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</si>
  <si>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</si>
  <si>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</si>
  <si>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</si>
  <si>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</si>
  <si>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</si>
  <si>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</si>
  <si>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</si>
  <si>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</si>
  <si>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</si>
  <si>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</si>
  <si>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</si>
  <si>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</si>
  <si>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</si>
  <si>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</si>
  <si>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</si>
  <si>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</si>
  <si>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</si>
  <si>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</si>
  <si>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</si>
  <si>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</si>
  <si>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</si>
  <si>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</si>
  <si>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</si>
  <si>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</si>
  <si>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</si>
  <si>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</si>
  <si>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</si>
  <si>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</si>
  <si>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</si>
  <si>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</si>
  <si>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</si>
  <si>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</si>
  <si>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</si>
  <si>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</si>
  <si>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</si>
  <si>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</si>
  <si>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</si>
  <si>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</si>
  <si>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</si>
  <si>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</si>
  <si>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</si>
  <si>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</si>
  <si>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</si>
  <si>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</si>
  <si>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</si>
  <si>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</si>
  <si>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</si>
  <si>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</si>
  <si>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</si>
  <si>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</si>
  <si>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</si>
  <si>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</si>
  <si>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</si>
  <si>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</si>
  <si>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</si>
  <si>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</si>
  <si>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</si>
  <si>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</si>
  <si>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</si>
  <si>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</si>
  <si>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</si>
  <si>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</si>
  <si>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</si>
  <si>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</si>
  <si>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</si>
  <si>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</si>
  <si>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</si>
  <si>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</si>
  <si>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</si>
  <si>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</si>
  <si>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</si>
  <si>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</si>
  <si>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</si>
  <si>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</si>
  <si>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</si>
  <si>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</si>
  <si>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</si>
  <si>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</si>
  <si>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</si>
  <si>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</si>
  <si>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</si>
  <si>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</si>
  <si>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</si>
  <si>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</si>
  <si>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</si>
  <si>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</si>
  <si>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</si>
  <si>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</si>
  <si>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</si>
  <si>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</si>
  <si>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</si>
  <si>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</si>
  <si>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</si>
  <si>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</si>
  <si>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</si>
  <si>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</si>
  <si>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</si>
  <si>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</si>
  <si>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</si>
  <si>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</si>
  <si>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</si>
  <si>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</si>
  <si>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</si>
  <si>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</si>
  <si>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</si>
  <si>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</si>
  <si>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</si>
  <si>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</si>
  <si>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</si>
  <si>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</si>
  <si>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</si>
  <si>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</si>
  <si>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</si>
  <si>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</si>
  <si>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</si>
  <si>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</si>
  <si>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</si>
  <si>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</si>
  <si>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</si>
  <si>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</si>
  <si>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</si>
  <si>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</si>
  <si>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</si>
  <si>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</si>
  <si>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</si>
  <si>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</si>
  <si>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</si>
  <si>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</si>
  <si>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</si>
  <si>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</si>
  <si>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</si>
  <si>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</si>
  <si>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</si>
  <si>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</si>
  <si>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</si>
  <si>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</si>
  <si>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</si>
  <si>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</si>
  <si>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</si>
  <si>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</si>
  <si>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</si>
  <si>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</si>
  <si>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</si>
  <si>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</si>
  <si>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</si>
  <si>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</si>
  <si>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</si>
  <si>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</si>
  <si>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</si>
  <si>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</si>
  <si>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</si>
  <si>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</si>
  <si>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</si>
  <si>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</si>
  <si>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</si>
  <si>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</si>
  <si>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</si>
  <si>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</si>
  <si>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</si>
  <si>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</si>
  <si>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</si>
  <si>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</si>
  <si>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</si>
  <si>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</si>
  <si>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</si>
  <si>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</si>
  <si>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</si>
  <si>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</si>
  <si>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</si>
  <si>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</si>
  <si>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</si>
  <si>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</si>
  <si>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</si>
  <si>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</si>
  <si>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</si>
  <si>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</si>
  <si>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</si>
  <si>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</si>
  <si>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</si>
  <si>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</si>
  <si>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</si>
  <si>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</si>
  <si>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</si>
  <si>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</si>
  <si>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</si>
  <si>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</si>
  <si>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</si>
  <si>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</si>
  <si>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</si>
  <si>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</si>
  <si>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</si>
  <si>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</si>
  <si>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</si>
  <si>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</si>
  <si>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</si>
  <si>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</si>
  <si>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</si>
  <si>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</si>
  <si>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</si>
  <si>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</si>
  <si>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</si>
  <si>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</si>
  <si>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</si>
  <si>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</si>
  <si>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</si>
  <si>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</si>
  <si>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</si>
  <si>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</si>
  <si>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</si>
  <si>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</si>
  <si>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</si>
  <si>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</si>
  <si>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</si>
  <si>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</si>
  <si>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</si>
  <si>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</si>
  <si>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</si>
  <si>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</si>
  <si>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</si>
  <si>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</si>
  <si>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</si>
  <si>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</si>
  <si>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</si>
  <si>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</si>
  <si>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</si>
  <si>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</si>
  <si>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</si>
  <si>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</si>
  <si>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</si>
  <si>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</si>
  <si>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</si>
  <si>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</si>
  <si>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</si>
  <si>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</si>
  <si>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</si>
  <si>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</si>
  <si>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</si>
  <si>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</si>
  <si>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</si>
  <si>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</si>
  <si>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</si>
  <si>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</si>
  <si>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</si>
  <si>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</si>
  <si>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</si>
  <si>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</si>
  <si>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</si>
  <si>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</si>
  <si>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</si>
  <si>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</si>
  <si>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</si>
  <si>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</si>
  <si>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</si>
  <si>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</si>
  <si>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</si>
  <si>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</si>
  <si>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</si>
  <si>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</si>
  <si>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</si>
  <si>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</si>
  <si>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</si>
  <si>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</si>
  <si>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</si>
  <si>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</si>
  <si>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</si>
  <si>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</si>
  <si>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</si>
  <si>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</si>
  <si>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</si>
  <si>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</si>
  <si>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</si>
  <si>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</si>
  <si>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</si>
  <si>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</si>
  <si>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</si>
  <si>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</si>
  <si>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</si>
  <si>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</si>
  <si>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</si>
  <si>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</si>
  <si>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</si>
  <si>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</si>
  <si>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</si>
  <si>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</si>
  <si>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</si>
  <si>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</si>
  <si>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</si>
  <si>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</si>
  <si>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</si>
  <si>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</si>
  <si>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</si>
  <si>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</si>
  <si>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</si>
  <si>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</si>
  <si>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</si>
  <si>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</si>
  <si>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</si>
  <si>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</si>
  <si>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</si>
  <si>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</si>
  <si>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</si>
  <si>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</si>
  <si>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</si>
  <si>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</si>
  <si>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</si>
  <si>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</si>
  <si>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</si>
  <si>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</si>
  <si>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</si>
  <si>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</si>
  <si>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</si>
  <si>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</si>
  <si>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</si>
  <si>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</si>
  <si>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</si>
  <si>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</si>
  <si>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</si>
  <si>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</si>
  <si>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</si>
  <si>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</si>
  <si>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</si>
  <si>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</si>
  <si>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</si>
  <si>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</si>
  <si>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</si>
  <si>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</si>
  <si>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</si>
  <si>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</si>
  <si>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</si>
  <si>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</si>
  <si>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</si>
  <si>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</si>
  <si>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</si>
  <si>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</si>
  <si>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</si>
  <si>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</si>
  <si>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</si>
  <si>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</si>
  <si>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</si>
  <si>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</si>
  <si>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</si>
  <si>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</si>
  <si>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</si>
  <si>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</si>
  <si>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</si>
  <si>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</si>
  <si>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</si>
  <si>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</si>
  <si>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</si>
  <si>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</si>
  <si>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</si>
  <si>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</si>
  <si>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</si>
  <si>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</si>
  <si>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</si>
  <si>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</si>
  <si>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</si>
  <si>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</si>
  <si>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</si>
  <si>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</si>
  <si>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</si>
  <si>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</si>
  <si>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</si>
  <si>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</si>
  <si>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</si>
  <si>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</si>
  <si>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</si>
  <si>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</si>
  <si>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</si>
  <si>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</si>
  <si>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</si>
  <si>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</si>
  <si>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</si>
  <si>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</si>
  <si>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</si>
  <si>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</si>
  <si>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</si>
  <si>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</si>
  <si>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</si>
  <si>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</si>
  <si>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</si>
  <si>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</si>
  <si>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</si>
  <si>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</si>
  <si>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</si>
  <si>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</si>
  <si>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</si>
  <si>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</si>
  <si>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</si>
  <si>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</si>
  <si>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</si>
  <si>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</si>
  <si>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</si>
  <si>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</si>
  <si>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</si>
  <si>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</si>
  <si>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</si>
  <si>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</si>
  <si>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</si>
  <si>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</si>
  <si>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</si>
  <si>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</si>
  <si>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</si>
  <si>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</si>
  <si>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</si>
  <si>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</si>
  <si>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</si>
  <si>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</si>
  <si>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</si>
  <si>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</si>
  <si>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</si>
  <si>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</si>
  <si>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</si>
  <si>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</si>
  <si>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</si>
  <si>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</si>
  <si>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</si>
  <si>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</si>
  <si>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</si>
  <si>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</si>
  <si>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</si>
  <si>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</si>
  <si>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</si>
  <si>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</si>
  <si>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</si>
  <si>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</si>
  <si>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</si>
  <si>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</si>
  <si>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</si>
  <si>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</si>
  <si>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</si>
  <si>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</si>
  <si>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</si>
  <si>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</si>
  <si>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</si>
  <si>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</si>
  <si>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</si>
  <si>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</si>
  <si>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</si>
  <si>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</si>
  <si>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</si>
  <si>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</si>
  <si>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</si>
  <si>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</si>
  <si>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</si>
  <si>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</si>
  <si>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</si>
  <si>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</si>
  <si>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</si>
  <si>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</si>
  <si>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</si>
  <si>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</si>
  <si>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</si>
  <si>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</si>
  <si>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</si>
  <si>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</si>
  <si>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</si>
  <si>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</si>
  <si>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</si>
  <si>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</si>
  <si>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</si>
  <si>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</si>
  <si>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</si>
  <si>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</si>
  <si>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</si>
  <si>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</si>
  <si>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</si>
  <si>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</si>
  <si>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</si>
  <si>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</si>
  <si>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</si>
  <si>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</si>
  <si>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</si>
  <si>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</si>
  <si>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</si>
  <si>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</si>
  <si>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</si>
  <si>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</si>
  <si>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</si>
  <si>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</si>
  <si>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</si>
  <si>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</si>
  <si>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</si>
  <si>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</si>
  <si>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</si>
  <si>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</si>
  <si>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</si>
  <si>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</si>
  <si>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</si>
  <si>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</si>
  <si>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</si>
  <si>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</si>
  <si>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</si>
  <si>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</si>
  <si>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</si>
  <si>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</si>
  <si>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</si>
  <si>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</si>
  <si>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</si>
  <si>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</si>
  <si>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</si>
  <si>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</si>
  <si>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</si>
  <si>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</si>
  <si>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</si>
  <si>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</si>
  <si>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</si>
  <si>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</si>
  <si>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</si>
  <si>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</si>
  <si>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</si>
  <si>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</si>
  <si>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</si>
  <si>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</si>
  <si>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</si>
  <si>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</si>
  <si>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</si>
  <si>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</si>
  <si>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</si>
  <si>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</si>
  <si>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</si>
  <si>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</si>
  <si>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</si>
  <si>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</si>
  <si>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</si>
  <si>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</si>
  <si>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</si>
  <si>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</si>
  <si>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</si>
  <si>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</si>
  <si>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</si>
  <si>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</si>
  <si>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</si>
  <si>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</si>
  <si>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</si>
  <si>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</si>
  <si>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</si>
  <si>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</si>
  <si>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</si>
  <si>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</si>
  <si>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</si>
  <si>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</si>
  <si>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</si>
  <si>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</si>
  <si>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</si>
  <si>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</si>
  <si>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</si>
  <si>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</si>
  <si>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</si>
  <si>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</si>
  <si>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</si>
  <si>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</si>
  <si>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</si>
  <si>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</si>
  <si>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</si>
  <si>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</si>
  <si>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</si>
  <si>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</si>
  <si>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</si>
  <si>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</si>
  <si>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</si>
  <si>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</si>
  <si>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</si>
  <si>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</si>
  <si>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</si>
  <si>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</si>
  <si>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</si>
  <si>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</si>
  <si>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</si>
  <si>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</si>
  <si>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</si>
  <si>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</si>
  <si>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</si>
  <si>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</si>
  <si>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</si>
  <si>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</si>
  <si>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</si>
  <si>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</si>
  <si>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</si>
  <si>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</si>
  <si>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</si>
  <si>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</si>
  <si>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</si>
  <si>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</si>
  <si>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</si>
  <si>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</si>
  <si>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</si>
  <si>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</si>
  <si>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</si>
  <si>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</si>
  <si>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</si>
  <si>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</si>
  <si>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</si>
  <si>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</si>
  <si>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</si>
  <si>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</si>
  <si>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</si>
  <si>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</si>
  <si>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</si>
  <si>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</si>
  <si>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</si>
  <si>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</si>
  <si>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</si>
  <si>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</si>
  <si>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</si>
  <si>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</si>
  <si>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</si>
  <si>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</si>
  <si>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</si>
  <si>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</si>
  <si>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</si>
  <si>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</si>
  <si>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</si>
  <si>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</si>
  <si>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</si>
  <si>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</si>
  <si>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</si>
  <si>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</si>
  <si>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</si>
  <si>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</si>
  <si>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</si>
  <si>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</si>
  <si>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</si>
  <si>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</si>
  <si>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</si>
  <si>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</si>
  <si>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</si>
  <si>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</si>
  <si>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</si>
  <si>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</si>
  <si>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</si>
  <si>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</si>
  <si>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</si>
  <si>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</si>
  <si>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</si>
  <si>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</si>
  <si>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</si>
  <si>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</si>
  <si>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</si>
  <si>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</si>
  <si>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</si>
  <si>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</si>
  <si>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</si>
  <si>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</si>
  <si>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</si>
  <si>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</si>
  <si>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</si>
  <si>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</si>
  <si>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</si>
  <si>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</si>
  <si>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</si>
  <si>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</si>
  <si>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</si>
  <si>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</si>
  <si>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</si>
  <si>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</si>
  <si>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</si>
  <si>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</si>
  <si>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</si>
  <si>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</si>
  <si>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</si>
  <si>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</si>
  <si>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</si>
  <si>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</si>
  <si>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</si>
  <si>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</si>
  <si>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</si>
  <si>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</si>
  <si>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</si>
  <si>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</si>
  <si>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</si>
  <si>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</si>
  <si>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</si>
  <si>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</si>
  <si>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</si>
  <si>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</si>
  <si>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</si>
  <si>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</si>
  <si>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</si>
  <si>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</si>
  <si>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</si>
  <si>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</si>
  <si>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</si>
  <si>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</si>
  <si>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</si>
  <si>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</si>
  <si>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</si>
  <si>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</si>
  <si>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</si>
  <si>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</si>
  <si>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</si>
  <si>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</si>
  <si>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</si>
  <si>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</si>
  <si>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</si>
  <si>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</si>
  <si>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</si>
  <si>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</si>
  <si>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</si>
  <si>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</si>
  <si>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</si>
  <si>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</si>
  <si>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</si>
  <si>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</si>
  <si>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</si>
  <si>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</si>
  <si>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</si>
  <si>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</si>
  <si>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</si>
  <si>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</si>
  <si>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</si>
  <si>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</si>
  <si>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</si>
  <si>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</si>
  <si>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</si>
  <si>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</si>
  <si>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</si>
  <si>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</si>
  <si>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</si>
  <si>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</si>
  <si>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</si>
  <si>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</si>
  <si>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</si>
  <si>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</si>
  <si>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</si>
  <si>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</si>
  <si>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</si>
  <si>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</si>
  <si>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</si>
  <si>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</si>
  <si>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</si>
  <si>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</si>
  <si>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</si>
  <si>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</si>
  <si>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</si>
  <si>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</si>
  <si>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</si>
  <si>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</si>
  <si>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</si>
  <si>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</si>
  <si>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</si>
  <si>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</si>
  <si>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</si>
  <si>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</si>
  <si>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</si>
  <si>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</si>
  <si>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</si>
  <si>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</si>
  <si>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</si>
  <si>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</si>
  <si>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</si>
  <si>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</si>
  <si>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</si>
  <si>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</si>
  <si>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</si>
  <si>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</si>
  <si>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</si>
  <si>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</si>
  <si>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</si>
  <si>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</si>
  <si>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</si>
  <si>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</si>
  <si>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</si>
  <si>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</si>
  <si>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</si>
  <si>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</si>
  <si>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</si>
  <si>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</si>
  <si>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</si>
  <si>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</si>
  <si>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</si>
  <si>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</si>
  <si>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</si>
  <si>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</si>
  <si>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</si>
  <si>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</si>
  <si>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</si>
  <si>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</si>
  <si>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</si>
  <si>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</si>
  <si>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</si>
  <si>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</si>
  <si>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</si>
  <si>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</si>
  <si>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</si>
  <si>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</si>
  <si>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</si>
  <si>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</si>
  <si>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</si>
  <si>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</si>
  <si>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</si>
  <si>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</si>
  <si>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</si>
  <si>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</si>
  <si>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</si>
  <si>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</si>
  <si>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</si>
  <si>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</si>
  <si>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</si>
  <si>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</si>
  <si>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</si>
  <si>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</si>
  <si>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</si>
  <si>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</si>
  <si>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</si>
  <si>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</si>
  <si>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</si>
  <si>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</si>
  <si>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</si>
  <si>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</si>
  <si>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</si>
  <si>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</si>
  <si>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</si>
  <si>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</si>
  <si>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</si>
  <si>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</si>
  <si>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</si>
  <si>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</si>
  <si>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</si>
  <si>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</si>
  <si>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</si>
  <si>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</si>
  <si>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</si>
  <si>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</si>
  <si>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</si>
  <si>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</si>
  <si>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</si>
  <si>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</si>
  <si>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</si>
  <si>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</si>
  <si>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</si>
  <si>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</si>
  <si>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</si>
  <si>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</si>
  <si>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</si>
  <si>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</si>
  <si>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</si>
  <si>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</si>
  <si>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</si>
  <si>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</si>
  <si>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</si>
  <si>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</si>
  <si>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</si>
  <si>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</si>
  <si>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</si>
  <si>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</si>
  <si>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</si>
  <si>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</si>
  <si>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</si>
  <si>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</si>
  <si>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</si>
  <si>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</si>
  <si>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</si>
  <si>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</si>
  <si>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</si>
  <si>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</si>
  <si>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</si>
  <si>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</si>
  <si>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</si>
  <si>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</si>
  <si>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</si>
  <si>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</si>
  <si>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</si>
  <si>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</si>
  <si>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</si>
  <si>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</si>
  <si>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</si>
  <si>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</si>
  <si>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</si>
  <si>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</si>
  <si>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</si>
  <si>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</si>
  <si>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</si>
  <si>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</si>
  <si>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</si>
  <si>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</si>
  <si>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</si>
  <si>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</si>
  <si>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</si>
  <si>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</si>
  <si>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</si>
  <si>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</si>
  <si>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</si>
  <si>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</si>
  <si>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</si>
  <si>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</si>
  <si>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</si>
  <si>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</si>
  <si>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</si>
  <si>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</si>
  <si>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</si>
  <si>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</si>
  <si>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</si>
  <si>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</si>
  <si>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</si>
  <si>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</si>
  <si>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</si>
  <si>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</si>
  <si>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</si>
  <si>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</si>
  <si>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</si>
  <si>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</si>
  <si>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</si>
  <si>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</si>
  <si>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</si>
  <si>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</si>
  <si>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</si>
  <si>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</si>
  <si>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</si>
  <si>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</si>
  <si>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</si>
  <si>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</si>
  <si>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</si>
  <si>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</si>
  <si>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</si>
  <si>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</si>
  <si>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</si>
  <si>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</si>
  <si>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</si>
  <si>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</si>
  <si>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</si>
  <si>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</si>
  <si>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</si>
  <si>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</si>
  <si>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</si>
  <si>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</si>
  <si>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</si>
  <si>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</si>
  <si>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</si>
  <si>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</si>
  <si>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</si>
  <si>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</si>
  <si>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</si>
  <si>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</si>
  <si>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</si>
  <si>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</si>
  <si>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</si>
  <si>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</si>
  <si>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</si>
  <si>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</si>
  <si>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</si>
  <si>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</si>
  <si>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</si>
  <si>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</si>
  <si>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</si>
  <si>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</si>
  <si>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</si>
  <si>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</si>
  <si>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</si>
  <si>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</si>
  <si>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</si>
  <si>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</si>
  <si>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</si>
  <si>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</si>
  <si>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</si>
  <si>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</si>
  <si>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</si>
  <si>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</si>
  <si>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</si>
  <si>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</si>
  <si>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</si>
  <si>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</si>
  <si>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</si>
  <si>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</si>
  <si>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</si>
  <si>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</si>
  <si>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</si>
  <si>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</si>
  <si>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</si>
  <si>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</si>
  <si>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</si>
  <si>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</si>
  <si>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</si>
  <si>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</si>
  <si>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</si>
  <si>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</si>
  <si>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</si>
  <si>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</si>
  <si>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</si>
  <si>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</si>
  <si>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</si>
  <si>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</si>
  <si>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</si>
  <si>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</si>
  <si>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</si>
  <si>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</si>
  <si>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</si>
  <si>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</si>
  <si>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</si>
  <si>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</si>
  <si>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</si>
  <si>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</si>
  <si>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</si>
  <si>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</si>
  <si>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</si>
  <si>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</si>
  <si>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</si>
  <si>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</si>
  <si>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</si>
  <si>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</si>
  <si>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</si>
  <si>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</si>
  <si>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</si>
  <si>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</si>
  <si>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</si>
  <si>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</si>
  <si>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</si>
  <si>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</si>
  <si>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</si>
  <si>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</si>
  <si>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</si>
  <si>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</si>
  <si>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</si>
  <si>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</si>
  <si>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</si>
  <si>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</si>
  <si>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</si>
  <si>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</si>
  <si>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</si>
  <si>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</si>
  <si>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</si>
  <si>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</si>
  <si>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</si>
  <si>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</si>
  <si>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</si>
  <si>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</si>
  <si>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</si>
  <si>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</si>
  <si>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</si>
  <si>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</si>
  <si>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</si>
  <si>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</si>
  <si>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</si>
  <si>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</si>
  <si>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</si>
  <si>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</si>
  <si>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</si>
  <si>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</si>
  <si>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</si>
  <si>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</si>
  <si>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</si>
  <si>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</si>
  <si>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</si>
  <si>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</si>
  <si>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</si>
  <si>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</si>
  <si>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</si>
  <si>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</si>
  <si>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</si>
  <si>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</si>
  <si>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</si>
  <si>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</si>
  <si>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</si>
  <si>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</si>
  <si>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</si>
  <si>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</si>
  <si>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</si>
  <si>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</si>
  <si>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</si>
  <si>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</si>
  <si>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</si>
  <si>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</si>
  <si>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</si>
  <si>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</si>
  <si>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</si>
  <si>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</si>
  <si>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</si>
  <si>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</si>
  <si>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</si>
  <si>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</si>
  <si>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</si>
  <si>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</si>
  <si>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</si>
  <si>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</si>
  <si>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</si>
  <si>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</si>
  <si>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</si>
  <si>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</si>
  <si>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</si>
  <si>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</si>
  <si>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</si>
  <si>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</si>
  <si>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</si>
  <si>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</si>
  <si>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</si>
  <si>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</si>
  <si>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</si>
  <si>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</si>
  <si>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</si>
  <si>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</si>
  <si>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</si>
  <si>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</si>
  <si>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</si>
  <si>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</si>
  <si>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</si>
  <si>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</si>
  <si>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</si>
  <si>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</si>
  <si>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</si>
  <si>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</si>
  <si>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</si>
  <si>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</si>
  <si>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</si>
  <si>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</si>
  <si>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</si>
  <si>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</si>
  <si>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</si>
  <si>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</si>
  <si>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</si>
  <si>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</si>
  <si>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</si>
  <si>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</si>
  <si>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</si>
  <si>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</si>
  <si>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</si>
  <si>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</si>
  <si>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</si>
  <si>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</si>
  <si>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</si>
  <si>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</si>
  <si>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</si>
  <si>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</si>
  <si>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</si>
  <si>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</si>
  <si>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</si>
  <si>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</si>
  <si>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</si>
  <si>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</si>
  <si>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</si>
  <si>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</si>
  <si>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</si>
  <si>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</si>
  <si>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</si>
  <si>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</si>
  <si>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</si>
  <si>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</si>
  <si>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</si>
  <si>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</si>
  <si>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</si>
  <si>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</si>
  <si>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</si>
  <si>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</si>
  <si>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</si>
  <si>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</si>
  <si>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</si>
  <si>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</si>
  <si>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</si>
  <si>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</si>
  <si>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</si>
  <si>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</si>
  <si>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</si>
  <si>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</si>
  <si>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</si>
  <si>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</si>
  <si>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</si>
  <si>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</si>
  <si>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</si>
  <si>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</si>
  <si>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</si>
  <si>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</si>
  <si>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</si>
  <si>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</si>
  <si>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</si>
  <si>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</si>
  <si>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</si>
  <si>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</si>
  <si>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</si>
  <si>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</si>
  <si>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</si>
  <si>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</si>
  <si>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</si>
  <si>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</si>
  <si>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</si>
  <si>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</si>
  <si>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</si>
  <si>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</si>
  <si>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</si>
  <si>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</si>
  <si>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</si>
  <si>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</si>
  <si>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</si>
  <si>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</si>
  <si>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</si>
  <si>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</si>
  <si>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</si>
  <si>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</si>
  <si>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</si>
  <si>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</si>
  <si>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</si>
  <si>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</si>
  <si>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</si>
  <si>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</si>
  <si>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</si>
  <si>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</si>
  <si>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</si>
  <si>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</si>
  <si>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</si>
  <si>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</si>
  <si>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</si>
  <si>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</si>
  <si>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</si>
  <si>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</si>
  <si>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</si>
  <si>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</si>
  <si>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</si>
  <si>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</si>
  <si>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</si>
  <si>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</si>
  <si>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</si>
  <si>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</si>
  <si>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</si>
  <si>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</si>
  <si>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</si>
  <si>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</si>
  <si>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</si>
  <si>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</si>
  <si>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</si>
  <si>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</si>
  <si>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</si>
  <si>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</si>
  <si>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</si>
  <si>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</si>
  <si>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</si>
  <si>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</si>
  <si>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</si>
  <si>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</si>
  <si>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</si>
  <si>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</si>
  <si>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</si>
  <si>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</si>
  <si>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</si>
  <si>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</si>
  <si>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</si>
  <si>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</si>
  <si>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</si>
  <si>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</si>
  <si>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</si>
  <si>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</si>
  <si>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</si>
  <si>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</si>
  <si>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</si>
  <si>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</si>
  <si>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</si>
  <si>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</si>
  <si>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</si>
  <si>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</si>
  <si>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</si>
  <si>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</si>
  <si>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</si>
  <si>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</si>
  <si>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</si>
  <si>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</si>
  <si>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</si>
  <si>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</si>
  <si>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</si>
  <si>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</si>
  <si>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</si>
  <si>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</si>
  <si>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</si>
  <si>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</si>
  <si>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</si>
  <si>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</si>
  <si>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</si>
  <si>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</si>
  <si>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</si>
  <si>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</si>
  <si>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</si>
  <si>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</si>
  <si>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</si>
  <si>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</si>
  <si>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</si>
  <si>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</si>
  <si>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</si>
  <si>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</si>
  <si>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</si>
  <si>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</si>
  <si>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</si>
  <si>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</si>
  <si>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</si>
  <si>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</si>
  <si>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</si>
  <si>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</si>
  <si>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</si>
  <si>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</si>
  <si>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</si>
  <si>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</si>
  <si>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</si>
  <si>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</si>
  <si>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</si>
  <si>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</si>
  <si>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</si>
  <si>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</si>
  <si>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</si>
  <si>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</si>
  <si>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</si>
  <si>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</si>
  <si>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</si>
  <si>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</si>
  <si>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</si>
  <si>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</si>
  <si>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</si>
  <si>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</si>
  <si>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</si>
  <si>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</si>
  <si>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</si>
  <si>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</si>
  <si>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</si>
  <si>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</si>
  <si>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</si>
  <si>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</si>
  <si>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</si>
  <si>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</si>
  <si>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</si>
  <si>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</si>
  <si>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</si>
  <si>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</si>
  <si>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</si>
  <si>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</si>
  <si>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</si>
  <si>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</si>
  <si>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</si>
  <si>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</si>
  <si>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</si>
  <si>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</si>
  <si>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</si>
  <si>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</si>
  <si>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</si>
  <si>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</si>
  <si>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</si>
  <si>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</si>
  <si>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</si>
  <si>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</si>
  <si>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</si>
  <si>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</si>
  <si>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</si>
  <si>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</si>
  <si>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</si>
  <si>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</si>
  <si>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</si>
  <si>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</si>
  <si>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</si>
  <si>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</si>
  <si>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</si>
  <si>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</si>
  <si>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</si>
  <si>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</si>
  <si>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</si>
  <si>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</si>
  <si>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</si>
  <si>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</si>
  <si>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</si>
  <si>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</si>
  <si>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</si>
  <si>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</si>
  <si>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</si>
  <si>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</si>
  <si>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</si>
  <si>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</si>
  <si>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</si>
  <si>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</si>
  <si>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</si>
  <si>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</si>
  <si>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</si>
  <si>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</si>
  <si>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</si>
  <si>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</si>
  <si>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</si>
  <si>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</si>
  <si>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</si>
  <si>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</si>
  <si>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</si>
  <si>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</si>
  <si>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</si>
  <si>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</si>
  <si>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</si>
  <si>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</si>
  <si>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</si>
  <si>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</si>
  <si>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</si>
  <si>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</si>
  <si>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</si>
  <si>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</si>
  <si>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</si>
  <si>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</si>
  <si>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</si>
  <si>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</si>
  <si>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</si>
  <si>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</si>
  <si>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</si>
  <si>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</si>
  <si>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</si>
  <si>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</si>
  <si>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</si>
  <si>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</si>
  <si>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</si>
  <si>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</si>
  <si>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</si>
  <si>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</si>
  <si>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</si>
  <si>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</si>
  <si>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</si>
  <si>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</si>
  <si>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</si>
  <si>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</si>
  <si>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</si>
  <si>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</si>
  <si>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</si>
  <si>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</si>
  <si>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</si>
  <si>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</si>
  <si>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</si>
  <si>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</si>
  <si>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</si>
  <si>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</si>
  <si>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</si>
  <si>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</si>
  <si>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</si>
  <si>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</si>
  <si>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</si>
  <si>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</si>
  <si>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</si>
  <si>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</si>
  <si>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</si>
  <si>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</si>
  <si>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</si>
  <si>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</si>
  <si>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</si>
  <si>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</si>
  <si>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</si>
  <si>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</si>
  <si>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</si>
  <si>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</si>
  <si>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</si>
  <si>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</si>
  <si>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</si>
  <si>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</si>
  <si>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</si>
  <si>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</si>
  <si>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</si>
  <si>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</si>
  <si>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</si>
  <si>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</si>
  <si>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</si>
  <si>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</si>
  <si>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</si>
  <si>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</si>
  <si>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</si>
  <si>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</si>
  <si>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</si>
  <si>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</si>
  <si>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</si>
  <si>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</si>
  <si>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</si>
  <si>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</si>
  <si>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</si>
  <si>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</si>
  <si>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</si>
  <si>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</si>
  <si>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</si>
  <si>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</si>
  <si>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</si>
  <si>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</si>
  <si>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</si>
  <si>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</si>
  <si>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</si>
  <si>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</si>
  <si>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</si>
  <si>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</si>
  <si>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</si>
  <si>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</si>
  <si>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</si>
  <si>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</si>
  <si>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</si>
  <si>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</si>
  <si>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</si>
  <si>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</si>
  <si>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</si>
  <si>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</si>
  <si>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</si>
  <si>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</si>
  <si>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</si>
  <si>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</si>
  <si>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</si>
  <si>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</si>
  <si>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</si>
  <si>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</si>
  <si>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</si>
  <si>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</si>
  <si>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</si>
  <si>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</si>
  <si>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</si>
  <si>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</si>
  <si>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</si>
  <si>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</si>
  <si>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</si>
  <si>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</si>
  <si>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</si>
  <si>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</si>
  <si>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</si>
  <si>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</si>
  <si>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</si>
  <si>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</si>
  <si>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</si>
  <si>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</si>
  <si>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</si>
  <si>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</si>
  <si>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</si>
  <si>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</si>
  <si>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</si>
  <si>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</si>
  <si>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</si>
  <si>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</si>
  <si>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</si>
  <si>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</si>
  <si>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</si>
  <si>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</si>
  <si>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</si>
  <si>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</si>
  <si>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</si>
  <si>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</si>
  <si>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</si>
  <si>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</si>
  <si>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</si>
  <si>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</si>
  <si>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</si>
  <si>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</si>
  <si>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</si>
  <si>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</si>
  <si>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</si>
  <si>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</si>
  <si>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</si>
  <si>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</si>
  <si>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</si>
  <si>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</si>
  <si>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</si>
  <si>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</si>
  <si>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</si>
  <si>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</si>
  <si>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</si>
  <si>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</si>
  <si>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</si>
  <si>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</si>
  <si>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</si>
  <si>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</si>
  <si>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</si>
  <si>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</si>
  <si>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</si>
  <si>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</si>
  <si>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</si>
  <si>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</si>
  <si>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</si>
  <si>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</si>
  <si>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</si>
  <si>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</si>
  <si>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</si>
  <si>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</si>
  <si>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</si>
  <si>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</si>
  <si>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</si>
  <si>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</si>
  <si>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</si>
  <si>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</si>
  <si>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</si>
  <si>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</si>
  <si>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</si>
  <si>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</si>
  <si>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</si>
  <si>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</si>
  <si>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</si>
  <si>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</si>
  <si>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</si>
  <si>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</si>
  <si>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</si>
  <si>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</si>
  <si>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</si>
  <si>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</si>
  <si>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</si>
  <si>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</si>
  <si>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</si>
  <si>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</si>
  <si>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</si>
  <si>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</si>
  <si>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</si>
  <si>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</si>
  <si>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</si>
  <si>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</si>
  <si>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</si>
  <si>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</si>
  <si>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</si>
  <si>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</si>
  <si>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</si>
  <si>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</si>
  <si>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</si>
  <si>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</si>
  <si>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</si>
  <si>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</si>
  <si>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</si>
  <si>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</si>
  <si>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</si>
  <si>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</si>
  <si>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</si>
  <si>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</si>
  <si>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</si>
  <si>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</si>
  <si>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</si>
  <si>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</si>
  <si>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</si>
  <si>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</si>
  <si>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</si>
  <si>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</si>
  <si>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</si>
  <si>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</si>
  <si>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</si>
  <si>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</si>
  <si>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</si>
  <si>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</si>
  <si>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</si>
  <si>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</si>
  <si>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</si>
  <si>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</si>
  <si>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</si>
  <si>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</si>
  <si>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</si>
  <si>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</si>
  <si>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</si>
  <si>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</si>
  <si>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</si>
  <si>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</si>
  <si>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</si>
  <si>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</si>
  <si>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</si>
  <si>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</si>
  <si>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</si>
  <si>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</si>
  <si>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</si>
  <si>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</si>
  <si>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</si>
  <si>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</si>
  <si>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</si>
  <si>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</si>
  <si>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</si>
  <si>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</si>
  <si>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</si>
  <si>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</si>
  <si>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</si>
  <si>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</si>
  <si>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</si>
  <si>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</si>
  <si>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</si>
  <si>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</si>
  <si>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</si>
  <si>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</si>
  <si>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</si>
  <si>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</si>
  <si>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</si>
  <si>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</si>
  <si>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</si>
  <si>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</si>
  <si>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</si>
  <si>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</si>
  <si>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</si>
  <si>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</si>
  <si>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</si>
  <si>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</si>
  <si>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</si>
  <si>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</si>
  <si>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</si>
  <si>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</si>
  <si>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</si>
  <si>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</si>
  <si>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</si>
  <si>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</si>
  <si>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</si>
  <si>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</si>
  <si>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</si>
  <si>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</si>
  <si>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</si>
  <si>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</si>
  <si>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</si>
  <si>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</si>
  <si>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</si>
  <si>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</si>
  <si>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</si>
  <si>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</si>
  <si>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</si>
  <si>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</si>
  <si>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</si>
  <si>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</si>
  <si>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</si>
  <si>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</si>
  <si>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</si>
  <si>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</si>
  <si>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</si>
  <si>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</si>
  <si>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</si>
  <si>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</si>
  <si>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</si>
  <si>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</si>
  <si>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</si>
  <si>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</si>
  <si>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</si>
  <si>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</si>
  <si>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</si>
  <si>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</si>
  <si>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</si>
  <si>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</si>
  <si>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</si>
  <si>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</si>
  <si>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</si>
  <si>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</si>
  <si>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</si>
  <si>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</si>
  <si>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</si>
  <si>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</si>
  <si>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</si>
  <si>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</si>
  <si>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</si>
  <si>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</si>
  <si>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</si>
  <si>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</si>
  <si>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</si>
  <si>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</si>
  <si>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</si>
  <si>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</si>
  <si>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</si>
  <si>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</si>
  <si>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</si>
  <si>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</si>
  <si>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</si>
  <si>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</si>
  <si>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</si>
  <si>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</si>
  <si>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</si>
  <si>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</si>
  <si>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</si>
  <si>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</si>
  <si>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</si>
  <si>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</si>
  <si>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</si>
  <si>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</si>
  <si>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</si>
  <si>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</si>
  <si>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</si>
  <si>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</si>
  <si>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</si>
  <si>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</si>
  <si>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</si>
  <si>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</si>
  <si>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</si>
  <si>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</si>
  <si>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</si>
  <si>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</si>
  <si>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</si>
  <si>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</si>
  <si>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</si>
  <si>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</si>
  <si>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</si>
  <si>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</si>
  <si>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</si>
  <si>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</si>
  <si>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</si>
  <si>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</si>
  <si>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</si>
  <si>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</si>
  <si>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</si>
  <si>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</si>
  <si>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</si>
  <si>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</si>
  <si>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</si>
  <si>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</si>
  <si>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</si>
  <si>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</si>
  <si>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</si>
  <si>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</si>
  <si>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</si>
  <si>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</si>
  <si>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</si>
  <si>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</si>
  <si>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</si>
  <si>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</si>
  <si>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</si>
  <si>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</si>
  <si>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</si>
  <si>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</si>
  <si>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</si>
  <si>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</si>
  <si>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</si>
  <si>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</si>
  <si>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</si>
  <si>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</si>
  <si>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</si>
  <si>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</si>
  <si>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</si>
  <si>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</si>
  <si>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</si>
  <si>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</si>
  <si>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</si>
  <si>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</si>
  <si>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</si>
  <si>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</si>
  <si>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</si>
  <si>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</si>
  <si>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</si>
  <si>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</si>
  <si>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</si>
  <si>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</si>
  <si>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</si>
  <si>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</si>
  <si>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</si>
  <si>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</si>
  <si>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</si>
  <si>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</si>
  <si>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</si>
  <si>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</si>
  <si>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</si>
  <si>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</si>
  <si>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</si>
  <si>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</si>
  <si>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</si>
  <si>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</si>
  <si>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</si>
  <si>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</si>
  <si>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</si>
  <si>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</si>
  <si>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</si>
  <si>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</si>
  <si>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</si>
  <si>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</si>
  <si>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</si>
  <si>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</si>
  <si>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</si>
  <si>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</si>
  <si>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</si>
  <si>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</si>
  <si>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</si>
  <si>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</si>
  <si>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</si>
  <si>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</si>
  <si>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</si>
  <si>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</si>
  <si>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</si>
  <si>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</si>
  <si>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</si>
  <si>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</si>
  <si>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</si>
  <si>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</si>
  <si>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</si>
  <si>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</si>
  <si>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</si>
  <si>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</si>
  <si>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</si>
  <si>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</si>
  <si>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</si>
  <si>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</si>
  <si>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</si>
  <si>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</si>
  <si>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</si>
  <si>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</si>
  <si>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</si>
  <si>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</si>
  <si>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</si>
  <si>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</si>
  <si>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</si>
  <si>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</si>
  <si>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</si>
  <si>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</si>
  <si>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</si>
  <si>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</si>
  <si>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</si>
  <si>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</si>
  <si>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</si>
  <si>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</si>
  <si>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</si>
  <si>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</si>
  <si>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</si>
  <si>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</si>
  <si>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</si>
  <si>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</si>
  <si>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</si>
  <si>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</si>
  <si>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</si>
  <si>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</si>
  <si>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</si>
  <si>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</si>
  <si>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</si>
  <si>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</si>
  <si>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</si>
  <si>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</si>
  <si>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</si>
  <si>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</si>
  <si>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</si>
  <si>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</si>
  <si>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</si>
  <si>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</si>
  <si>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</si>
  <si>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</si>
  <si>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</si>
  <si>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</si>
  <si>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</si>
  <si>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</si>
  <si>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</si>
  <si>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</si>
  <si>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</si>
  <si>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</si>
  <si>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</si>
  <si>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</si>
  <si>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</si>
  <si>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</si>
  <si>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</si>
  <si>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</si>
  <si>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</si>
  <si>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</si>
  <si>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</si>
  <si>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</si>
  <si>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</si>
  <si>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</si>
  <si>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</si>
  <si>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</si>
  <si>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</si>
  <si>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</si>
  <si>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</si>
  <si>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</si>
  <si>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</si>
  <si>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</si>
  <si>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</si>
  <si>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</si>
  <si>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</si>
  <si>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</si>
  <si>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</si>
  <si>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</si>
  <si>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</si>
  <si>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</si>
  <si>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</si>
  <si>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</si>
  <si>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</si>
  <si>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</si>
  <si>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</si>
  <si>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</si>
  <si>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</si>
  <si>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</si>
  <si>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</si>
  <si>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</si>
  <si>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</si>
  <si>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</si>
  <si>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</si>
  <si>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</si>
  <si>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</si>
  <si>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</si>
  <si>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</si>
  <si>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</si>
  <si>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</si>
  <si>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</si>
  <si>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</si>
  <si>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</si>
  <si>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</si>
  <si>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</si>
  <si>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</si>
  <si>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</si>
  <si>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</si>
  <si>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</si>
  <si>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</si>
  <si>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</si>
  <si>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</si>
  <si>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</si>
  <si>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</si>
  <si>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</si>
  <si>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</si>
  <si>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</si>
  <si>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</si>
  <si>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</si>
  <si>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</si>
  <si>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</si>
  <si>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</si>
  <si>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</si>
  <si>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</si>
  <si>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</si>
  <si>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</si>
  <si>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</si>
  <si>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</si>
  <si>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</si>
  <si>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</si>
  <si>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</si>
  <si>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</si>
  <si>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</si>
  <si>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</si>
  <si>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</si>
  <si>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</si>
  <si>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</si>
  <si>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</si>
  <si>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</si>
  <si>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</si>
  <si>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</si>
  <si>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</si>
  <si>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</si>
  <si>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</si>
  <si>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</si>
  <si>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</si>
  <si>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</si>
  <si>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</si>
  <si>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</si>
  <si>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</si>
  <si>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</si>
  <si>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</si>
  <si>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</si>
  <si>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</si>
  <si>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</si>
  <si>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</si>
  <si>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</si>
  <si>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</si>
  <si>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</si>
  <si>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</si>
  <si>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</si>
  <si>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</si>
  <si>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</si>
  <si>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</si>
  <si>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</si>
  <si>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</si>
  <si>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</si>
  <si>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</si>
  <si>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</si>
  <si>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</si>
  <si>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</si>
  <si>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</si>
  <si>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</si>
  <si>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</si>
  <si>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</si>
  <si>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</si>
  <si>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</si>
  <si>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</si>
  <si>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</si>
  <si>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</si>
  <si>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</si>
  <si>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</si>
  <si>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</si>
  <si>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</si>
  <si>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</si>
  <si>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</si>
  <si>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</si>
  <si>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</si>
  <si>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</si>
  <si>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</si>
  <si>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</si>
  <si>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</si>
  <si>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</si>
  <si>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</si>
  <si>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</si>
  <si>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</si>
  <si>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</si>
  <si>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</si>
  <si>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</si>
  <si>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</si>
  <si>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</si>
  <si>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</si>
  <si>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</si>
  <si>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</si>
  <si>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</si>
  <si>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</si>
  <si>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</si>
  <si>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</si>
  <si>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</si>
  <si>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</si>
  <si>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</si>
  <si>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</si>
  <si>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</si>
  <si>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</si>
  <si>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</si>
  <si>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</si>
  <si>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</si>
  <si>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</si>
  <si>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</si>
  <si>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</si>
  <si>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</si>
  <si>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</si>
  <si>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</si>
  <si>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</si>
  <si>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</si>
  <si>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</si>
  <si>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</si>
  <si>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</si>
  <si>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</si>
  <si>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</si>
  <si>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</si>
  <si>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</si>
  <si>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</si>
  <si>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</si>
  <si>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</si>
  <si>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</si>
  <si>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</si>
  <si>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</si>
  <si>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</si>
  <si>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</si>
  <si>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</si>
  <si>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</si>
  <si>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</si>
  <si>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</si>
  <si>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</si>
  <si>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</si>
  <si>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</si>
  <si>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</si>
  <si>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</si>
  <si>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</si>
  <si>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</si>
  <si>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</si>
  <si>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</si>
  <si>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</si>
  <si>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</si>
  <si>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</si>
  <si>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</si>
  <si>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</si>
  <si>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</si>
  <si>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</si>
  <si>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</si>
  <si>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</si>
  <si>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</si>
  <si>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</si>
  <si>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</si>
  <si>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</si>
  <si>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</si>
  <si>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</si>
  <si>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</si>
  <si>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</si>
  <si>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</si>
  <si>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</si>
  <si>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</si>
  <si>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</si>
  <si>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</si>
  <si>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</si>
  <si>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</si>
  <si>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</si>
  <si>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</si>
  <si>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</si>
  <si>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</si>
  <si>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</si>
  <si>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</si>
  <si>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</si>
  <si>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</si>
  <si>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</si>
  <si>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</si>
  <si>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</si>
  <si>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</si>
  <si>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</si>
  <si>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</si>
  <si>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</si>
  <si>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</si>
  <si>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</si>
  <si>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</si>
  <si>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</si>
  <si>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</si>
  <si>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</si>
  <si>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</si>
  <si>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</si>
  <si>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</si>
  <si>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</si>
  <si>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</si>
  <si>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</si>
  <si>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</si>
  <si>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</si>
  <si>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</si>
  <si>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</si>
  <si>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</si>
  <si>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</si>
  <si>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</si>
  <si>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</si>
  <si>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</si>
  <si>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</si>
  <si>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</si>
  <si>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</si>
  <si>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</si>
  <si>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</si>
  <si>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</si>
  <si>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</si>
  <si>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</si>
  <si>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</si>
  <si>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</si>
  <si>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</si>
  <si>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</si>
  <si>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</si>
  <si>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</si>
  <si>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</si>
  <si>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</si>
  <si>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</si>
  <si>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</si>
  <si>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</si>
  <si>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</si>
  <si>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</si>
  <si>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</si>
  <si>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</si>
  <si>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</si>
  <si>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</si>
  <si>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</si>
  <si>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</si>
  <si>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</si>
  <si>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</si>
  <si>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</si>
  <si>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</si>
  <si>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</si>
  <si>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</si>
  <si>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</si>
  <si>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</si>
  <si>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</si>
  <si>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</si>
  <si>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</si>
  <si>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</si>
  <si>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</si>
  <si>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</si>
  <si>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</si>
  <si>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</si>
  <si>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</si>
  <si>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</si>
  <si>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</si>
  <si>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</si>
  <si>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</si>
  <si>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</si>
  <si>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</si>
  <si>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</si>
  <si>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</si>
  <si>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</si>
  <si>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</si>
  <si>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</si>
  <si>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</si>
  <si>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</si>
  <si>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</si>
  <si>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</si>
  <si>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</si>
  <si>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</si>
  <si>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</si>
  <si>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</si>
  <si>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</si>
  <si>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</si>
  <si>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</si>
  <si>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</si>
  <si>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</si>
  <si>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</si>
  <si>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</si>
  <si>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</si>
  <si>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</si>
  <si>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</si>
  <si>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</si>
  <si>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</si>
  <si>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</si>
  <si>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</si>
  <si>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</si>
  <si>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</si>
  <si>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</si>
  <si>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</si>
  <si>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</si>
  <si>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</si>
  <si>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</si>
  <si>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</si>
  <si>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</si>
  <si>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</si>
  <si>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</si>
  <si>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</si>
  <si>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</si>
  <si>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</si>
  <si>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</si>
  <si>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</si>
  <si>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</si>
  <si>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</si>
  <si>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</si>
  <si>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</si>
  <si>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</si>
  <si>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</si>
  <si>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</si>
  <si>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</si>
  <si>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</si>
  <si>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</si>
  <si>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</si>
  <si>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</si>
  <si>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</si>
  <si>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</si>
  <si>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</si>
  <si>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</si>
  <si>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</si>
  <si>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</si>
  <si>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</si>
  <si>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</si>
  <si>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</si>
  <si>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</si>
  <si>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</si>
  <si>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</si>
  <si>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</si>
  <si>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</si>
  <si>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</si>
  <si>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</si>
  <si>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</si>
  <si>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</si>
  <si>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</si>
  <si>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</si>
  <si>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</si>
  <si>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</si>
  <si>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</si>
  <si>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</si>
  <si>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</si>
  <si>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</si>
  <si>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</si>
  <si>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</si>
  <si>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</si>
  <si>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</si>
  <si>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</si>
  <si>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</si>
  <si>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</si>
  <si>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</si>
  <si>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</si>
  <si>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</si>
  <si>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</si>
  <si>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</si>
  <si>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</si>
  <si>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</si>
  <si>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</si>
  <si>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</si>
  <si>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</si>
  <si>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</si>
  <si>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</si>
  <si>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</si>
  <si>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</si>
  <si>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</si>
  <si>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</si>
  <si>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</si>
  <si>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</si>
  <si>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</si>
  <si>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</si>
  <si>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</si>
  <si>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</si>
  <si>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</si>
  <si>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</si>
  <si>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</si>
  <si>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</si>
  <si>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</si>
  <si>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</si>
  <si>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</si>
  <si>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</si>
  <si>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</si>
  <si>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</si>
  <si>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</si>
  <si>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</si>
  <si>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</si>
  <si>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</si>
  <si>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</si>
  <si>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</si>
  <si>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</si>
  <si>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</si>
  <si>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</si>
  <si>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</si>
  <si>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</si>
  <si>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</si>
  <si>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</si>
  <si>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</si>
  <si>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</si>
  <si>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</si>
  <si>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</si>
  <si>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</si>
  <si>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</si>
  <si>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</si>
  <si>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</si>
  <si>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</si>
  <si>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</si>
  <si>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</si>
  <si>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</si>
  <si>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</si>
  <si>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</si>
  <si>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</si>
  <si>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</si>
  <si>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</si>
  <si>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</si>
  <si>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</si>
  <si>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</si>
  <si>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</si>
  <si>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</si>
  <si>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</si>
  <si>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</si>
  <si>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</si>
  <si>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</si>
  <si>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</si>
  <si>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</si>
  <si>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</si>
  <si>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</si>
  <si>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</si>
  <si>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</si>
  <si>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</si>
  <si>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</si>
  <si>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</si>
  <si>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</si>
  <si>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</si>
  <si>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</si>
  <si>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</si>
  <si>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</si>
  <si>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</si>
  <si>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</si>
  <si>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</si>
  <si>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</si>
  <si>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</si>
  <si>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</si>
  <si>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</si>
  <si>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</si>
  <si>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</si>
  <si>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</si>
  <si>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</si>
  <si>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</si>
  <si>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</si>
  <si>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</si>
  <si>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</si>
  <si>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</si>
  <si>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</si>
  <si>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</si>
  <si>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</si>
  <si>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</si>
  <si>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</si>
  <si>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</si>
  <si>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</si>
  <si>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</si>
  <si>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</si>
  <si>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</si>
  <si>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</si>
  <si>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</si>
  <si>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</si>
  <si>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</si>
  <si>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</si>
  <si>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</si>
  <si>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</si>
  <si>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</si>
  <si>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</si>
  <si>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</si>
  <si>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</si>
  <si>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</si>
  <si>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</si>
  <si>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</si>
  <si>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</si>
  <si>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</si>
  <si>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</si>
  <si>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</si>
  <si>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</si>
  <si>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</si>
  <si>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</si>
  <si>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</si>
  <si>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</si>
  <si>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</si>
  <si>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</si>
  <si>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</si>
  <si>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</si>
  <si>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</si>
  <si>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</si>
  <si>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</si>
  <si>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</si>
  <si>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</si>
  <si>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</si>
  <si>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</si>
  <si>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</si>
  <si>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</si>
  <si>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</si>
  <si>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</si>
  <si>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</si>
  <si>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</si>
  <si>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</si>
  <si>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</si>
  <si>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</si>
  <si>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</si>
  <si>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</si>
  <si>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</si>
  <si>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</si>
  <si>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</si>
  <si>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</si>
  <si>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</si>
  <si>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</si>
  <si>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</si>
  <si>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</si>
  <si>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</si>
  <si>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</si>
  <si>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</si>
  <si>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</si>
  <si>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</si>
  <si>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</si>
  <si>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</si>
  <si>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</si>
  <si>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</si>
  <si>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</si>
  <si>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</si>
  <si>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</si>
  <si>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</si>
  <si>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</si>
  <si>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</si>
  <si>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</si>
  <si>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</si>
  <si>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</si>
  <si>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</si>
  <si>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</si>
  <si>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</si>
  <si>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</si>
  <si>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</si>
  <si>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</si>
  <si>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</si>
  <si>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</si>
  <si>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</si>
  <si>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</si>
  <si>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</si>
  <si>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</si>
  <si>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</si>
  <si>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</si>
  <si>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</si>
  <si>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</si>
  <si>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</si>
  <si>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</si>
  <si>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</si>
  <si>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</si>
  <si>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</si>
  <si>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</si>
  <si>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</si>
  <si>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</si>
  <si>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</si>
  <si>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</si>
  <si>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</si>
  <si>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</si>
  <si>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</si>
  <si>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</si>
  <si>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</si>
  <si>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</si>
  <si>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</si>
  <si>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</si>
  <si>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</si>
  <si>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</si>
  <si>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</si>
  <si>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</si>
  <si>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</si>
  <si>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</si>
  <si>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</si>
  <si>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</si>
  <si>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</si>
  <si>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</si>
  <si>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</si>
  <si>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</si>
  <si>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</si>
  <si>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</si>
  <si>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</si>
  <si>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</si>
  <si>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</si>
  <si>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</si>
  <si>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</si>
  <si>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</si>
  <si>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</si>
  <si>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</si>
  <si>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</si>
  <si>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</si>
  <si>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</si>
  <si>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</si>
  <si>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</si>
  <si>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</si>
  <si>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</si>
  <si>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</si>
  <si>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</si>
  <si>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</si>
  <si>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</si>
  <si>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</si>
  <si>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</si>
  <si>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</si>
  <si>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</si>
  <si>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</si>
  <si>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</si>
  <si>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</si>
  <si>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</si>
  <si>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</si>
  <si>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</si>
  <si>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</si>
  <si>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</si>
  <si>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</si>
  <si>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</si>
  <si>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</si>
  <si>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</si>
  <si>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</si>
  <si>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</si>
  <si>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</si>
  <si>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</si>
  <si>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</si>
  <si>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</si>
  <si>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</si>
  <si>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</si>
  <si>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</si>
  <si>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</si>
  <si>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</si>
  <si>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</si>
  <si>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</si>
  <si>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</si>
  <si>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</si>
  <si>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</si>
  <si>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</si>
  <si>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</si>
  <si>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</si>
  <si>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</si>
  <si>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</si>
  <si>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</si>
  <si>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</si>
  <si>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</si>
  <si>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</si>
  <si>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</si>
  <si>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</si>
  <si>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</si>
  <si>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</si>
  <si>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</si>
  <si>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</si>
  <si>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</si>
  <si>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</si>
  <si>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</si>
  <si>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</si>
  <si>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</si>
  <si>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</si>
  <si>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</si>
  <si>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</si>
  <si>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</si>
  <si>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</si>
  <si>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</si>
  <si>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</si>
  <si>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</si>
  <si>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</si>
  <si>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</si>
  <si>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</si>
  <si>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</si>
  <si>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</si>
  <si>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</si>
  <si>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</si>
  <si>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</si>
  <si>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</si>
  <si>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</si>
  <si>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</si>
  <si>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</si>
  <si>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</si>
  <si>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</si>
  <si>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</si>
  <si>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</si>
  <si>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</si>
  <si>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</si>
  <si>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</si>
  <si>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</si>
  <si>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</si>
  <si>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</si>
  <si>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</si>
  <si>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</si>
  <si>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</si>
  <si>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</si>
  <si>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</si>
  <si>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</si>
  <si>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</si>
  <si>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</si>
  <si>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</si>
  <si>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</si>
  <si>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</si>
  <si>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</si>
  <si>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</si>
  <si>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</si>
  <si>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</si>
  <si>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</si>
  <si>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</si>
  <si>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</si>
  <si>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</si>
  <si>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</si>
  <si>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</si>
  <si>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</si>
  <si>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</si>
  <si>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</si>
  <si>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</si>
  <si>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</si>
  <si>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</si>
  <si>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</si>
  <si>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</si>
  <si>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</si>
  <si>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</si>
  <si>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</si>
  <si>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</si>
  <si>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</si>
  <si>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</si>
  <si>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</si>
  <si>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</si>
  <si>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</si>
  <si>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</si>
  <si>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</si>
  <si>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</si>
  <si>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</si>
  <si>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</si>
  <si>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</si>
  <si>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</si>
  <si>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</si>
  <si>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</si>
  <si>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</si>
  <si>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</si>
  <si>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</si>
  <si>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</si>
  <si>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</si>
  <si>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</si>
  <si>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</si>
  <si>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</si>
  <si>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</si>
  <si>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</si>
  <si>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</si>
  <si>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</si>
  <si>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</si>
  <si>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</si>
  <si>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</si>
  <si>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</si>
  <si>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</si>
  <si>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</si>
  <si>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</si>
  <si>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</si>
  <si>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</si>
  <si>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</si>
  <si>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</si>
  <si>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</si>
  <si>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</si>
  <si>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</si>
  <si>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</si>
  <si>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</si>
  <si>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</si>
  <si>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</si>
  <si>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</si>
  <si>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</si>
  <si>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</si>
  <si>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</si>
  <si>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</si>
  <si>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</si>
  <si>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</si>
  <si>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</si>
  <si>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</si>
  <si>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</si>
  <si>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</si>
  <si>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</si>
  <si>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</si>
  <si>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</si>
  <si>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</si>
  <si>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</si>
  <si>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</si>
  <si>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</si>
  <si>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</si>
  <si>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</si>
  <si>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</si>
  <si>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</si>
  <si>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</si>
  <si>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</si>
  <si>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</si>
  <si>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</si>
  <si>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</si>
  <si>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</si>
  <si>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</si>
  <si>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</si>
  <si>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</si>
  <si>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</si>
  <si>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</si>
  <si>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</si>
  <si>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</si>
  <si>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</si>
  <si>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</si>
  <si>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</si>
  <si>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</si>
  <si>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</si>
  <si>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</si>
  <si>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</si>
  <si>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</si>
  <si>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</si>
  <si>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</si>
  <si>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</si>
  <si>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</si>
  <si>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</si>
  <si>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</si>
  <si>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</si>
  <si>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</si>
  <si>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</si>
  <si>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</si>
  <si>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</si>
  <si>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</si>
  <si>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</si>
  <si>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</si>
  <si>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</si>
  <si>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</si>
  <si>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</si>
  <si>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</si>
  <si>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</si>
  <si>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</si>
  <si>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</si>
  <si>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</si>
  <si>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</si>
  <si>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</si>
  <si>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</si>
  <si>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</si>
  <si>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</si>
  <si>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</si>
  <si>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</si>
  <si>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</si>
  <si>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</si>
  <si>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</si>
  <si>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</si>
  <si>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</si>
  <si>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</si>
  <si>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</si>
  <si>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</si>
  <si>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</si>
  <si>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</si>
  <si>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</si>
  <si>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</si>
  <si>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</si>
  <si>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</si>
  <si>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</si>
  <si>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</si>
  <si>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</si>
  <si>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</si>
  <si>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</si>
  <si>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</si>
  <si>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</si>
  <si>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</si>
  <si>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</si>
  <si>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</si>
  <si>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</si>
  <si>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</si>
  <si>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</si>
  <si>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</si>
  <si>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</si>
  <si>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</si>
  <si>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</si>
  <si>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</si>
  <si>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</si>
  <si>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</si>
  <si>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</si>
  <si>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</si>
  <si>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</si>
  <si>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</si>
  <si>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</si>
  <si>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</si>
  <si>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</si>
  <si>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</si>
  <si>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</si>
  <si>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</si>
  <si>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</si>
  <si>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</si>
  <si>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</si>
  <si>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</si>
  <si>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</si>
  <si>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</si>
  <si>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</si>
  <si>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</si>
  <si>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</si>
  <si>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</si>
  <si>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</si>
  <si>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</si>
  <si>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</si>
  <si>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</si>
  <si>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</si>
  <si>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</si>
  <si>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</si>
  <si>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</si>
  <si>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</si>
  <si>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</si>
  <si>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</si>
  <si>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</si>
  <si>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</si>
  <si>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</si>
  <si>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</si>
  <si>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</si>
  <si>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</si>
  <si>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</si>
  <si>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</si>
  <si>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</si>
  <si>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</si>
  <si>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</si>
  <si>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</si>
  <si>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</si>
  <si>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</si>
  <si>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</si>
  <si>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</si>
  <si>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</si>
  <si>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</si>
  <si>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</si>
  <si>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</si>
  <si>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</si>
  <si>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</si>
  <si>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</si>
  <si>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</si>
  <si>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</si>
  <si>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</si>
  <si>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</si>
  <si>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</si>
  <si>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</si>
  <si>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</si>
  <si>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</si>
  <si>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</si>
  <si>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</si>
  <si>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</si>
  <si>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</si>
  <si>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</si>
  <si>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</si>
  <si>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</si>
  <si>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</si>
  <si>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</si>
  <si>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</si>
  <si>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</si>
  <si>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</si>
  <si>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</si>
  <si>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</si>
  <si>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</si>
  <si>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</si>
  <si>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</si>
  <si>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</si>
  <si>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</si>
  <si>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</si>
  <si>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</si>
  <si>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</si>
  <si>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</si>
  <si>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</si>
  <si>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</si>
  <si>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</si>
  <si>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</si>
  <si>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</si>
  <si>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</si>
  <si>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</si>
  <si>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</si>
  <si>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</si>
  <si>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</si>
  <si>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</si>
  <si>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</si>
  <si>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</si>
  <si>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</si>
  <si>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</si>
  <si>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</si>
  <si>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</si>
  <si>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</si>
  <si>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</si>
  <si>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</si>
  <si>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</si>
  <si>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</si>
  <si>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</si>
  <si>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</si>
  <si>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</si>
  <si>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</si>
  <si>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</si>
  <si>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</si>
  <si>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</si>
  <si>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</si>
  <si>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</si>
  <si>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</si>
  <si>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</si>
  <si>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</si>
  <si>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</si>
  <si>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</si>
  <si>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</si>
  <si>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</si>
  <si>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</si>
  <si>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</si>
  <si>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</si>
  <si>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</si>
  <si>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</si>
  <si>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</si>
  <si>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</si>
  <si>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</si>
  <si>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</si>
  <si>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</si>
  <si>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</si>
  <si>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</si>
  <si>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</si>
  <si>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</si>
  <si>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</si>
  <si>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</si>
  <si>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</si>
  <si>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</si>
  <si>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</si>
  <si>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</si>
  <si>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</si>
  <si>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</si>
  <si>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</si>
  <si>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</si>
  <si>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</si>
  <si>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</si>
  <si>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</si>
  <si>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</si>
  <si>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</si>
  <si>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</si>
  <si>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</si>
  <si>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</si>
  <si>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</si>
  <si>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</si>
  <si>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</si>
  <si>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</si>
  <si>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</si>
  <si>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</si>
  <si>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</si>
  <si>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</si>
  <si>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</si>
  <si>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</si>
  <si>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</si>
  <si>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</si>
  <si>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</si>
  <si>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</si>
  <si>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</si>
  <si>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</si>
  <si>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</si>
  <si>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</si>
  <si>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</si>
  <si>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</si>
  <si>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</si>
  <si>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</si>
  <si>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</si>
  <si>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</si>
  <si>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</si>
  <si>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</si>
  <si>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</si>
  <si>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</si>
  <si>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</si>
  <si>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</si>
  <si>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</si>
  <si>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</si>
  <si>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</si>
  <si>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</si>
  <si>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</si>
  <si>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</si>
  <si>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</si>
  <si>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</si>
  <si>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</si>
  <si>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</si>
  <si>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</si>
  <si>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</si>
  <si>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</si>
  <si>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</si>
  <si>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</si>
  <si>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</si>
  <si>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</si>
  <si>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</si>
  <si>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</si>
  <si>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</si>
  <si>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</si>
  <si>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</si>
  <si>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</si>
  <si>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</si>
  <si>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</si>
  <si>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</si>
  <si>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</si>
  <si>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</si>
  <si>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</si>
  <si>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</si>
  <si>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</si>
  <si>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</si>
  <si>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</si>
  <si>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</si>
  <si>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</si>
  <si>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</si>
  <si>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</si>
  <si>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</si>
  <si>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</si>
  <si>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</si>
  <si>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</si>
  <si>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</si>
  <si>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</si>
  <si>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</si>
  <si>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</si>
  <si>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</si>
  <si>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</si>
  <si>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</si>
  <si>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</si>
  <si>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</si>
  <si>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</si>
  <si>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</si>
  <si>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</si>
  <si>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</si>
  <si>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</si>
  <si>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</si>
  <si>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</si>
  <si>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</si>
  <si>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</si>
  <si>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</si>
  <si>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</si>
  <si>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</si>
  <si>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</si>
  <si>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</si>
  <si>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</si>
  <si>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</si>
  <si>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</si>
  <si>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</si>
  <si>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</si>
  <si>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</si>
  <si>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</si>
  <si>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</si>
  <si>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</si>
  <si>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</si>
  <si>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</si>
  <si>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</si>
  <si>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</si>
  <si>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</si>
  <si>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</si>
  <si>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</si>
  <si>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</si>
  <si>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</si>
  <si>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</si>
  <si>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</si>
  <si>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</si>
  <si>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</si>
  <si>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</si>
  <si>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</si>
  <si>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</si>
  <si>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</si>
  <si>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</si>
  <si>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</si>
  <si>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</si>
  <si>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</si>
  <si>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</si>
  <si>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</si>
  <si>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</si>
  <si>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</si>
  <si>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</si>
  <si>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</si>
  <si>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</si>
  <si>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</si>
  <si>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</si>
  <si>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</si>
  <si>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</si>
  <si>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</si>
  <si>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</si>
  <si>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</si>
  <si>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</si>
  <si>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</si>
  <si>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</si>
  <si>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</si>
  <si>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</si>
  <si>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</si>
  <si>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</si>
  <si>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</si>
  <si>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</si>
  <si>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</si>
  <si>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</si>
  <si>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</si>
  <si>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</si>
  <si>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</si>
  <si>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</si>
  <si>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</si>
  <si>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</si>
  <si>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</si>
  <si>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</si>
  <si>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</si>
  <si>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</si>
  <si>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</si>
  <si>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</si>
  <si>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</si>
  <si>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</si>
  <si>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</si>
  <si>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</si>
  <si>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</si>
  <si>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</si>
  <si>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</si>
  <si>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</si>
  <si>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</si>
  <si>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</si>
  <si>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</si>
  <si>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</si>
  <si>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</si>
  <si>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</si>
  <si>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</si>
  <si>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</si>
  <si>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</si>
  <si>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</si>
  <si>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</si>
  <si>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</si>
  <si>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</si>
  <si>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</si>
  <si>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</si>
  <si>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</si>
  <si>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</si>
  <si>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</si>
  <si>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</si>
  <si>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</si>
  <si>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</si>
  <si>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</si>
  <si>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</si>
  <si>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</si>
  <si>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</si>
  <si>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</si>
  <si>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</si>
  <si>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</si>
  <si>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</si>
  <si>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</si>
  <si>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</si>
  <si>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</si>
  <si>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</si>
  <si>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</si>
  <si>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</si>
  <si>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</si>
  <si>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</si>
  <si>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</si>
  <si>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</si>
  <si>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</si>
  <si>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</si>
  <si>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</si>
  <si>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</si>
  <si>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</si>
  <si>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</si>
  <si>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</si>
  <si>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</si>
  <si>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</si>
  <si>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</si>
  <si>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</si>
  <si>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</si>
  <si>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</si>
  <si>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</si>
  <si>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</si>
  <si>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</si>
  <si>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</si>
  <si>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</si>
  <si>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</si>
  <si>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</si>
  <si>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</si>
  <si>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</si>
  <si>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</si>
  <si>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</si>
  <si>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</si>
  <si>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</si>
  <si>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</si>
  <si>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</si>
  <si>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</si>
  <si>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</si>
  <si>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</si>
  <si>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</si>
  <si>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</si>
  <si>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</si>
  <si>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</si>
  <si>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</si>
  <si>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</si>
  <si>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</si>
  <si>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</si>
  <si>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</si>
  <si>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</si>
  <si>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</si>
  <si>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</si>
  <si>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</si>
  <si>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</si>
  <si>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</si>
  <si>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</si>
  <si>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</si>
  <si>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</si>
  <si>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</si>
  <si>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</si>
  <si>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</si>
  <si>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</si>
  <si>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</si>
  <si>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</si>
  <si>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</si>
  <si>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</si>
  <si>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</si>
  <si>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</si>
  <si>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</si>
  <si>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</si>
  <si>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</si>
  <si>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</si>
  <si>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</si>
  <si>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</si>
  <si>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</si>
  <si>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</si>
  <si>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</si>
  <si>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</si>
  <si>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</si>
  <si>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</si>
  <si>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</si>
  <si>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</si>
  <si>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</si>
  <si>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</si>
  <si>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</si>
  <si>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</si>
  <si>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</si>
  <si>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</si>
  <si>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</si>
  <si>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</si>
  <si>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</si>
  <si>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</si>
  <si>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</si>
  <si>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</si>
  <si>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</si>
  <si>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</si>
  <si>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</si>
  <si>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</si>
  <si>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</si>
  <si>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</si>
  <si>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</si>
  <si>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</si>
  <si>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</si>
  <si>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</si>
  <si>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</si>
  <si>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</si>
  <si>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</si>
  <si>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</si>
  <si>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</si>
  <si>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</si>
  <si>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</si>
  <si>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</si>
  <si>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</si>
  <si>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</si>
  <si>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</si>
  <si>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</si>
  <si>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</si>
  <si>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</si>
  <si>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</si>
  <si>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</si>
  <si>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</si>
  <si>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</si>
  <si>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</si>
  <si>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</si>
  <si>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</si>
  <si>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</si>
  <si>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</si>
  <si>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</si>
  <si>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</si>
  <si>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</si>
  <si>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</si>
  <si>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</si>
  <si>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</si>
  <si>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</si>
  <si>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</si>
  <si>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</si>
  <si>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</si>
  <si>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</si>
  <si>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</si>
  <si>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</si>
  <si>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</si>
  <si>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</si>
  <si>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</si>
  <si>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</si>
  <si>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</si>
  <si>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</si>
  <si>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</si>
  <si>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</si>
  <si>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</si>
  <si>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</si>
  <si>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</si>
  <si>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</si>
  <si>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</si>
  <si>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</si>
  <si>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</si>
  <si>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</si>
  <si>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</si>
  <si>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</si>
  <si>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</si>
  <si>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</si>
  <si>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</si>
  <si>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</si>
  <si>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</si>
  <si>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</si>
  <si>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</si>
  <si>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</si>
  <si>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</si>
  <si>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</si>
  <si>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</si>
  <si>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</si>
  <si>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</si>
  <si>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</si>
  <si>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</si>
  <si>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</si>
  <si>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</si>
  <si>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</si>
  <si>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</si>
  <si>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</si>
  <si>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</si>
  <si>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</si>
  <si>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</si>
  <si>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</si>
  <si>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</si>
  <si>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</si>
  <si>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</si>
  <si>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</si>
  <si>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</si>
  <si>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</si>
  <si>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</si>
  <si>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</si>
  <si>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</si>
  <si>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</si>
  <si>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</si>
  <si>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</si>
  <si>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</si>
  <si>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</si>
  <si>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</si>
  <si>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</si>
  <si>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</si>
  <si>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</si>
  <si>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</si>
  <si>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</si>
  <si>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</si>
  <si>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</si>
  <si>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</si>
  <si>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</si>
  <si>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</si>
  <si>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</si>
  <si>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</si>
  <si>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</si>
  <si>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</si>
  <si>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</si>
  <si>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</si>
  <si>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</si>
  <si>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</si>
  <si>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</si>
  <si>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</si>
  <si>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</si>
  <si>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</si>
  <si>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</si>
  <si>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</si>
  <si>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</si>
  <si>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</si>
  <si>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</si>
  <si>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</si>
  <si>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</si>
  <si>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</si>
  <si>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</si>
  <si>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</si>
  <si>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</si>
  <si>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</si>
  <si>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</si>
  <si>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</si>
  <si>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</si>
  <si>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</si>
  <si>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</si>
  <si>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</si>
  <si>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</si>
  <si>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</si>
  <si>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</si>
  <si>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</si>
  <si>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</si>
  <si>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</si>
  <si>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</si>
  <si>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</si>
  <si>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</si>
  <si>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</si>
  <si>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</si>
  <si>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</si>
  <si>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</si>
  <si>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</si>
  <si>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</si>
  <si>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</si>
  <si>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</si>
  <si>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</si>
  <si>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</si>
  <si>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</si>
  <si>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</si>
  <si>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</si>
  <si>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</si>
  <si>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</si>
  <si>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</si>
  <si>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</si>
  <si>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</si>
  <si>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</si>
  <si>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</si>
  <si>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</si>
  <si>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</si>
  <si>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</si>
  <si>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</si>
  <si>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</si>
  <si>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</si>
  <si>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</si>
  <si>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</si>
  <si>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</si>
  <si>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</si>
  <si>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</si>
  <si>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</si>
  <si>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</si>
  <si>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</si>
  <si>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</si>
  <si>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</si>
  <si>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</si>
  <si>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</si>
  <si>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</si>
  <si>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</si>
  <si>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</si>
  <si>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</si>
  <si>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</si>
  <si>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</si>
  <si>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</si>
  <si>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</si>
  <si>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</si>
  <si>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</si>
  <si>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</si>
  <si>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</si>
  <si>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</si>
  <si>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</si>
  <si>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</si>
  <si>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</si>
  <si>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</si>
  <si>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</si>
  <si>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</si>
  <si>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</si>
  <si>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</si>
  <si>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</si>
  <si>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</si>
  <si>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</si>
  <si>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</si>
  <si>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</si>
  <si>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</si>
  <si>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</si>
  <si>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</si>
  <si>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</si>
  <si>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</si>
  <si>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</si>
  <si>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</si>
  <si>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</si>
  <si>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</si>
  <si>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</si>
  <si>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</si>
  <si>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</si>
  <si>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</si>
  <si>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</si>
  <si>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</si>
  <si>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</si>
  <si>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</si>
  <si>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</si>
  <si>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</si>
  <si>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</si>
  <si>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</si>
  <si>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</si>
  <si>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</si>
  <si>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</si>
  <si>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</si>
  <si>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</si>
  <si>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</si>
  <si>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</si>
  <si>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</si>
  <si>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</si>
  <si>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</si>
  <si>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</si>
  <si>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</si>
  <si>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</si>
  <si>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</si>
  <si>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</si>
  <si>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</si>
  <si>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</si>
  <si>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</si>
  <si>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</si>
  <si>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</si>
  <si>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</si>
  <si>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</si>
  <si>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</si>
  <si>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</si>
  <si>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</si>
  <si>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</si>
  <si>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</si>
  <si>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</si>
  <si>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</si>
  <si>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</si>
  <si>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</si>
  <si>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</si>
  <si>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</si>
  <si>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</si>
  <si>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</si>
  <si>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</si>
  <si>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</si>
  <si>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</si>
  <si>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</si>
  <si>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</si>
  <si>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</si>
  <si>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</si>
  <si>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</si>
  <si>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</si>
  <si>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</si>
  <si>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</si>
  <si>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</si>
  <si>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</si>
  <si>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</si>
  <si>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</si>
  <si>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</si>
  <si>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</si>
  <si>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</si>
  <si>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</si>
  <si>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</si>
  <si>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</si>
  <si>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</si>
  <si>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</si>
  <si>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</si>
  <si>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</si>
  <si>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</si>
  <si>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</si>
  <si>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</si>
  <si>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</si>
  <si>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</si>
  <si>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</si>
  <si>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</si>
  <si>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</si>
  <si>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</si>
  <si>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</si>
  <si>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</si>
  <si>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</si>
  <si>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</si>
  <si>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</si>
  <si>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</si>
  <si>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</si>
  <si>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</si>
  <si>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</si>
  <si>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</si>
  <si>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</si>
  <si>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</si>
  <si>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</si>
  <si>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</si>
  <si>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</si>
  <si>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</si>
  <si>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</si>
  <si>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</si>
  <si>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</si>
  <si>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</si>
  <si>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</si>
  <si>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</si>
  <si>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</si>
  <si>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</si>
  <si>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</si>
  <si>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</si>
  <si>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</si>
  <si>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</si>
  <si>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</si>
  <si>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</si>
  <si>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</si>
  <si>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</si>
  <si>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</si>
  <si>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</si>
  <si>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</si>
  <si>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</si>
  <si>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</si>
  <si>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</si>
  <si>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</si>
  <si>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</si>
  <si>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</si>
  <si>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</si>
  <si>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</si>
  <si>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</si>
  <si>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</si>
  <si>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</si>
  <si>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</si>
  <si>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</si>
  <si>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</si>
  <si>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</si>
  <si>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</si>
  <si>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</si>
  <si>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</si>
  <si>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</si>
  <si>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</si>
  <si>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</si>
  <si>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</si>
  <si>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</si>
  <si>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</si>
  <si>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</si>
  <si>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</si>
  <si>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</si>
  <si>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</si>
  <si>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</si>
  <si>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</si>
  <si>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</si>
  <si>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</si>
  <si>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</si>
  <si>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</si>
  <si>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</si>
  <si>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</si>
  <si>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</si>
  <si>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</si>
  <si>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</si>
  <si>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</si>
  <si>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</si>
  <si>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</si>
  <si>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</si>
  <si>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</si>
  <si>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</si>
  <si>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</si>
  <si>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</si>
  <si>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</si>
  <si>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</si>
  <si>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</si>
  <si>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</si>
  <si>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</si>
  <si>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</si>
  <si>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</si>
  <si>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</si>
  <si>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</si>
  <si>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</si>
  <si>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</si>
  <si>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</si>
  <si>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</si>
  <si>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</si>
  <si>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</si>
  <si>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</si>
  <si>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</si>
  <si>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</si>
  <si>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</si>
  <si>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</si>
  <si>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</si>
  <si>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</si>
  <si>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</si>
  <si>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</si>
  <si>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</si>
  <si>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</si>
  <si>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</si>
  <si>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</si>
  <si>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</si>
  <si>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</si>
  <si>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</si>
  <si>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</si>
  <si>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</si>
  <si>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</si>
  <si>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</si>
  <si>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</si>
  <si>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</si>
  <si>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</si>
  <si>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</si>
  <si>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</si>
  <si>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</si>
  <si>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</si>
  <si>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</si>
  <si>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</si>
  <si>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</si>
  <si>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</si>
  <si>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</si>
  <si>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</si>
  <si>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</si>
  <si>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</si>
  <si>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</si>
  <si>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</si>
  <si>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</si>
  <si>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</si>
  <si>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</si>
  <si>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</si>
  <si>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</si>
  <si>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</si>
  <si>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</si>
  <si>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</si>
  <si>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</si>
  <si>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</si>
  <si>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</si>
  <si>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</si>
  <si>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</si>
  <si>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</si>
  <si>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</si>
  <si>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</si>
  <si>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</si>
  <si>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</si>
  <si>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</si>
  <si>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</si>
  <si>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</si>
  <si>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</si>
  <si>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</si>
  <si>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</si>
  <si>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</si>
  <si>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</si>
  <si>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</si>
  <si>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</si>
  <si>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</si>
  <si>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</si>
  <si>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</si>
  <si>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</si>
  <si>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</si>
  <si>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</si>
  <si>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</si>
  <si>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</si>
  <si>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</si>
  <si>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</si>
  <si>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</si>
  <si>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</si>
  <si>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</si>
  <si>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</si>
  <si>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</si>
  <si>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</si>
  <si>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</si>
  <si>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</si>
  <si>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</si>
  <si>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</si>
  <si>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</si>
  <si>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</si>
  <si>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</si>
  <si>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</si>
  <si>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</si>
  <si>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</si>
  <si>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</si>
  <si>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</si>
  <si>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</si>
  <si>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</si>
  <si>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</si>
  <si>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</si>
  <si>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</si>
  <si>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</si>
  <si>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</si>
  <si>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</si>
  <si>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</si>
  <si>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</si>
  <si>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</si>
  <si>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</si>
  <si>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</si>
  <si>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</si>
  <si>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</si>
  <si>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</si>
  <si>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</si>
  <si>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</si>
  <si>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</si>
  <si>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</si>
  <si>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</si>
  <si>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</si>
  <si>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</si>
  <si>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</si>
  <si>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</si>
  <si>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</si>
  <si>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</si>
  <si>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</si>
  <si>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</si>
  <si>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</si>
  <si>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</si>
  <si>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</si>
  <si>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</si>
  <si>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</si>
  <si>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</si>
  <si>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</si>
  <si>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</si>
  <si>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</si>
  <si>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</si>
  <si>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</si>
  <si>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</si>
  <si>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</si>
  <si>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</si>
  <si>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</si>
  <si>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</si>
  <si>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</si>
  <si>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</si>
  <si>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</si>
  <si>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</si>
  <si>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</si>
  <si>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</si>
  <si>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</si>
  <si>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</si>
  <si>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</si>
  <si>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</si>
  <si>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</si>
  <si>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</si>
  <si>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</si>
  <si>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</si>
  <si>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</si>
  <si>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</si>
  <si>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</si>
  <si>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</si>
  <si>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</si>
  <si>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</si>
  <si>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</si>
  <si>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</si>
  <si>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</si>
  <si>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</si>
  <si>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</si>
  <si>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</si>
  <si>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</si>
  <si>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</si>
  <si>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</si>
  <si>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</si>
  <si>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</si>
  <si>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</si>
  <si>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</si>
  <si>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</si>
  <si>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</si>
  <si>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</si>
  <si>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</si>
  <si>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</si>
  <si>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</si>
  <si>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</si>
  <si>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</si>
  <si>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</si>
  <si>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</si>
  <si>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</si>
  <si>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</si>
  <si>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</si>
  <si>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</si>
  <si>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</si>
  <si>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</si>
  <si>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</si>
  <si>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</si>
  <si>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</si>
  <si>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</si>
  <si>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</si>
  <si>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</si>
  <si>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</si>
  <si>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</si>
  <si>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</si>
  <si>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</si>
  <si>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</si>
  <si>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</si>
  <si>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</si>
  <si>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</si>
  <si>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</si>
  <si>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</si>
  <si>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</si>
  <si>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</si>
  <si>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</si>
  <si>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</si>
  <si>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</si>
  <si>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</si>
  <si>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</si>
  <si>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</si>
  <si>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</si>
  <si>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</si>
  <si>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</si>
  <si>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</si>
  <si>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</si>
  <si>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</si>
  <si>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</si>
  <si>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</si>
  <si>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</si>
  <si>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</si>
  <si>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</si>
  <si>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</si>
  <si>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</si>
  <si>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</si>
  <si>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</si>
  <si>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</si>
  <si>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</si>
  <si>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</si>
  <si>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</si>
  <si>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</si>
  <si>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</si>
  <si>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</si>
  <si>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</si>
  <si>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</si>
  <si>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</si>
  <si>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</si>
  <si>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</si>
  <si>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</si>
  <si>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</si>
  <si>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</si>
  <si>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</si>
  <si>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</si>
  <si>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</si>
  <si>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</si>
  <si>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</si>
  <si>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</si>
  <si>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</si>
  <si>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</si>
  <si>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</si>
  <si>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</si>
  <si>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</si>
  <si>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</si>
  <si>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</si>
  <si>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</si>
  <si>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</si>
  <si>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</si>
  <si>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</si>
  <si>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</si>
  <si>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</si>
  <si>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</si>
  <si>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</si>
  <si>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</si>
  <si>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</si>
  <si>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</si>
  <si>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</si>
  <si>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</si>
  <si>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</si>
  <si>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</si>
  <si>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</si>
  <si>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</si>
  <si>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</si>
  <si>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</si>
  <si>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</si>
  <si>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</si>
  <si>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</si>
  <si>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</si>
  <si>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</si>
  <si>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</si>
  <si>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</si>
  <si>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</si>
  <si>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</si>
  <si>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</si>
  <si>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</si>
  <si>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</si>
  <si>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</si>
  <si>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</si>
  <si>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</si>
  <si>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</si>
  <si>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</si>
  <si>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</si>
  <si>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</si>
  <si>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</si>
  <si>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</si>
  <si>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</si>
  <si>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</si>
  <si>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</si>
  <si>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</si>
  <si>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</si>
  <si>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</si>
  <si>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</si>
  <si>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</si>
  <si>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</si>
  <si>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</si>
  <si>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</si>
  <si>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</si>
  <si>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</si>
  <si>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</si>
  <si>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</si>
  <si>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</si>
  <si>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</si>
  <si>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</si>
  <si>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</si>
  <si>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</si>
  <si>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</si>
  <si>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</si>
  <si>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</si>
  <si>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</si>
  <si>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</si>
  <si>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</si>
  <si>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</si>
  <si>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</si>
  <si>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</si>
  <si>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</si>
  <si>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</si>
  <si>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</si>
  <si>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</si>
  <si>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</si>
  <si>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</si>
  <si>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</si>
  <si>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</si>
  <si>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</si>
  <si>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</si>
  <si>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</si>
  <si>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</si>
  <si>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</si>
  <si>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</si>
  <si>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</si>
  <si>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</si>
  <si>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</si>
  <si>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</si>
  <si>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</si>
  <si>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</si>
  <si>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</si>
  <si>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</si>
  <si>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</si>
  <si>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</si>
  <si>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</si>
  <si>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</si>
  <si>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</si>
  <si>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</si>
  <si>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</si>
  <si>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</si>
  <si>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</si>
  <si>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</si>
  <si>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</si>
  <si>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</si>
  <si>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</si>
  <si>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</si>
  <si>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</si>
  <si>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</si>
  <si>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</si>
  <si>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</si>
  <si>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</si>
  <si>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</si>
  <si>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</si>
  <si>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</si>
  <si>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</si>
  <si>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</si>
  <si>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</si>
  <si>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</si>
  <si>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</si>
  <si>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</si>
  <si>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</si>
  <si>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</si>
  <si>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</si>
  <si>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</si>
  <si>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</si>
  <si>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</si>
  <si>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</si>
  <si>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</si>
  <si>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</si>
  <si>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</si>
  <si>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</si>
  <si>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</si>
  <si>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</si>
  <si>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</si>
  <si>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</si>
  <si>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</si>
  <si>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</si>
  <si>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</si>
  <si>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</si>
  <si>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</si>
  <si>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</si>
  <si>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</si>
  <si>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</si>
  <si>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</si>
  <si>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</si>
  <si>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</si>
  <si>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</si>
  <si>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</si>
  <si>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</si>
  <si>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</si>
  <si>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</si>
  <si>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</si>
  <si>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</si>
  <si>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</si>
  <si>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</si>
  <si>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</si>
  <si>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</si>
  <si>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</si>
  <si>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</si>
  <si>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</si>
  <si>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</si>
  <si>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</si>
  <si>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</si>
  <si>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</si>
  <si>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</si>
  <si>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</si>
  <si>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</si>
  <si>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</si>
  <si>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</si>
  <si>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</si>
  <si>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</si>
  <si>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</si>
  <si>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</si>
  <si>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</si>
  <si>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</si>
  <si>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</si>
  <si>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</si>
  <si>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</si>
  <si>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</si>
  <si>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</si>
  <si>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</si>
  <si>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</si>
  <si>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</si>
  <si>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</si>
  <si>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</si>
  <si>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</si>
  <si>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</si>
  <si>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</si>
  <si>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</si>
  <si>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</si>
  <si>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</si>
  <si>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</si>
  <si>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</si>
  <si>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</si>
  <si>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</si>
  <si>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</si>
  <si>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</si>
  <si>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</si>
  <si>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</si>
  <si>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</si>
  <si>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</si>
  <si>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</si>
  <si>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</si>
  <si>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</si>
  <si>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</si>
  <si>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</si>
  <si>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</si>
  <si>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</si>
  <si>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</si>
  <si>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</si>
  <si>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</si>
  <si>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</si>
  <si>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</si>
  <si>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</si>
  <si>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</si>
  <si>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</si>
  <si>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</si>
  <si>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</si>
  <si>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</si>
  <si>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</si>
  <si>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</si>
  <si>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</si>
  <si>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</si>
  <si>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</si>
  <si>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</si>
  <si>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</si>
  <si>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</si>
  <si>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</si>
  <si>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</si>
  <si>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</si>
  <si>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</si>
  <si>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</si>
  <si>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</si>
  <si>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</si>
  <si>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</si>
  <si>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</si>
  <si>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</si>
  <si>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</si>
  <si>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</si>
  <si>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</si>
  <si>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</si>
  <si>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</si>
  <si>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</si>
  <si>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</si>
  <si>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</si>
  <si>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</si>
  <si>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</si>
  <si>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</si>
  <si>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</si>
  <si>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</si>
  <si>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</si>
  <si>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</si>
  <si>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</si>
  <si>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</si>
  <si>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</si>
  <si>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</si>
  <si>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</si>
  <si>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</si>
  <si>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</si>
  <si>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</si>
  <si>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</si>
  <si>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</si>
  <si>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</si>
  <si>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</si>
  <si>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</si>
  <si>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</si>
  <si>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</si>
  <si>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</si>
  <si>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</si>
  <si>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</si>
  <si>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</si>
  <si>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</si>
  <si>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</si>
  <si>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</si>
  <si>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</si>
  <si>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</si>
  <si>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</si>
  <si>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</si>
  <si>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</si>
  <si>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</si>
  <si>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</si>
  <si>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</si>
  <si>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</si>
  <si>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</si>
  <si>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</si>
  <si>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</si>
  <si>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</si>
  <si>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</si>
  <si>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</si>
  <si>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</si>
  <si>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</si>
  <si>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</si>
  <si>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</si>
  <si>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</si>
  <si>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</si>
  <si>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</si>
  <si>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</si>
  <si>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</si>
  <si>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</si>
  <si>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</si>
  <si>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</si>
  <si>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</si>
  <si>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</si>
  <si>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</si>
  <si>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</si>
  <si>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</si>
  <si>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</si>
  <si>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</si>
  <si>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</si>
  <si>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</si>
  <si>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</si>
  <si>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</si>
  <si>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</si>
  <si>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</si>
  <si>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</si>
  <si>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</si>
  <si>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</si>
  <si>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</si>
  <si>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</si>
  <si>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</si>
  <si>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</si>
  <si>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</si>
  <si>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</si>
  <si>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</si>
  <si>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</si>
  <si>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</si>
  <si>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</si>
  <si>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</si>
  <si>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</si>
  <si>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</si>
  <si>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</si>
  <si>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</si>
  <si>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</si>
  <si>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</si>
  <si>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</si>
  <si>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</si>
  <si>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</si>
  <si>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</si>
  <si>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</si>
  <si>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</si>
  <si>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</si>
  <si>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</si>
  <si>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</si>
  <si>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</si>
  <si>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</si>
  <si>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</si>
  <si>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</si>
  <si>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</si>
  <si>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</si>
  <si>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</si>
  <si>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</si>
  <si>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</si>
  <si>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</si>
  <si>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</si>
  <si>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</si>
  <si>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</si>
  <si>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</si>
  <si>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</si>
  <si>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</si>
  <si>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</si>
  <si>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</si>
  <si>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</si>
  <si>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</si>
  <si>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</si>
  <si>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</si>
  <si>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</si>
  <si>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</si>
  <si>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</si>
  <si>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</si>
  <si>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</si>
  <si>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</si>
  <si>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</si>
  <si>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</si>
  <si>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</si>
  <si>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</si>
  <si>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</si>
  <si>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</si>
  <si>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</si>
  <si>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</si>
  <si>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</si>
  <si>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</si>
  <si>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</si>
  <si>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</si>
  <si>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</si>
  <si>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</si>
  <si>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</si>
  <si>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</si>
  <si>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</si>
  <si>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</si>
  <si>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</si>
  <si>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</si>
  <si>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</si>
  <si>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</si>
  <si>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</si>
  <si>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</si>
  <si>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</si>
  <si>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</si>
  <si>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</si>
  <si>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</si>
  <si>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</si>
  <si>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</si>
  <si>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</si>
  <si>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</si>
  <si>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</si>
  <si>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</si>
  <si>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</si>
  <si>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</si>
  <si>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</si>
  <si>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</si>
  <si>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</si>
  <si>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</si>
  <si>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</si>
  <si>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</si>
  <si>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</si>
  <si>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</si>
  <si>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</si>
  <si>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</si>
  <si>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</si>
  <si>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</si>
  <si>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</si>
  <si>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</si>
  <si>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</si>
  <si>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</si>
  <si>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</si>
  <si>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</si>
  <si>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</si>
  <si>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</si>
  <si>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</si>
  <si>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</si>
  <si>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</si>
  <si>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</si>
  <si>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</si>
  <si>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</si>
  <si>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</si>
  <si>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</si>
  <si>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</si>
  <si>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</si>
  <si>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</si>
  <si>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</si>
  <si>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</si>
  <si>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</si>
  <si>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</si>
  <si>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</si>
  <si>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</si>
  <si>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</si>
  <si>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</si>
  <si>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</si>
  <si>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</si>
  <si>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</si>
  <si>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</si>
  <si>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</si>
  <si>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</si>
  <si>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</si>
  <si>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</si>
  <si>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</si>
  <si>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</si>
  <si>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</si>
  <si>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</si>
  <si>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</si>
  <si>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</si>
  <si>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</si>
  <si>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</si>
  <si>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</si>
  <si>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</si>
  <si>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</si>
  <si>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</si>
  <si>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</si>
  <si>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</si>
  <si>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</si>
  <si>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</si>
  <si>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</si>
  <si>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</si>
  <si>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</si>
  <si>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</si>
  <si>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</si>
  <si>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</si>
  <si>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</si>
  <si>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</si>
  <si>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</si>
  <si>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</si>
  <si>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</si>
  <si>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</si>
  <si>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</si>
  <si>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</si>
  <si>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</si>
  <si>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</si>
  <si>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</si>
  <si>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</si>
  <si>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</si>
  <si>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</si>
  <si>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</si>
  <si>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</si>
  <si>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</si>
  <si>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</si>
  <si>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</si>
  <si>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</si>
  <si>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</si>
  <si>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</si>
  <si>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</si>
  <si>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</si>
  <si>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</si>
  <si>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</si>
  <si>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</si>
  <si>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</si>
  <si>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</si>
  <si>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</si>
  <si>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</si>
  <si>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</si>
  <si>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</si>
  <si>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</si>
  <si>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</si>
  <si>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</si>
  <si>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</si>
  <si>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</si>
  <si>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</si>
  <si>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</si>
  <si>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</si>
  <si>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</si>
  <si>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</si>
  <si>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</si>
  <si>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</si>
  <si>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</si>
  <si>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</si>
  <si>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</si>
  <si>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</si>
  <si>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</si>
  <si>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</si>
  <si>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</si>
  <si>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</si>
  <si>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</si>
  <si>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</si>
  <si>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</si>
  <si>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</si>
  <si>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</si>
  <si>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</si>
  <si>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</si>
  <si>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</si>
  <si>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</si>
  <si>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</si>
  <si>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</si>
  <si>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</si>
  <si>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</si>
  <si>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</si>
  <si>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</si>
  <si>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</si>
  <si>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</si>
  <si>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</si>
  <si>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</si>
  <si>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</si>
  <si>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</si>
  <si>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</si>
  <si>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</si>
  <si>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</si>
  <si>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</si>
  <si>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</si>
  <si>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</si>
  <si>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</si>
  <si>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</si>
  <si>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</si>
  <si>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</si>
  <si>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</si>
  <si>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</si>
  <si>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</si>
  <si>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</si>
  <si>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</si>
  <si>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</si>
  <si>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</si>
  <si>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</si>
  <si>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</si>
  <si>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</si>
  <si>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</si>
  <si>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</si>
  <si>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</si>
  <si>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</si>
  <si>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</si>
  <si>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</si>
  <si>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</si>
  <si>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</si>
  <si>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</si>
  <si>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</si>
  <si>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</si>
  <si>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</si>
  <si>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</si>
  <si>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</si>
  <si>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</si>
  <si>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</si>
  <si>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</si>
  <si>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</si>
  <si>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</si>
  <si>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</si>
  <si>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</si>
  <si>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</si>
  <si>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</si>
  <si>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</si>
  <si>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</si>
  <si>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</si>
  <si>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</si>
  <si>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</si>
  <si>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</si>
  <si>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</si>
  <si>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</si>
  <si>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</si>
  <si>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</si>
  <si>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</si>
  <si>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</si>
  <si>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</si>
  <si>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</si>
  <si>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</si>
  <si>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</si>
  <si>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</si>
  <si>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</si>
  <si>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</si>
  <si>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</si>
  <si>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</si>
  <si>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</si>
  <si>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</si>
  <si>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</si>
  <si>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</si>
  <si>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</si>
  <si>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</si>
  <si>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</si>
  <si>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</si>
  <si>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</si>
  <si>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</si>
  <si>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</si>
  <si>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</si>
  <si>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</si>
  <si>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</si>
  <si>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</si>
  <si>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</si>
  <si>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</si>
  <si>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</si>
  <si>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</si>
  <si>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</si>
  <si>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</si>
  <si>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</si>
  <si>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</si>
  <si>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</si>
  <si>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</si>
  <si>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</si>
  <si>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</si>
  <si>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</si>
  <si>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</si>
  <si>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</si>
  <si>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</si>
  <si>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</si>
  <si>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</si>
  <si>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</si>
  <si>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</si>
  <si>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</si>
  <si>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</si>
  <si>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</si>
  <si>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</si>
  <si>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</si>
  <si>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</si>
  <si>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</si>
  <si>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</si>
  <si>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</si>
  <si>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</si>
  <si>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</si>
  <si>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</si>
  <si>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</si>
  <si>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</si>
  <si>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</si>
  <si>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</si>
  <si>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</si>
  <si>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</si>
  <si>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</si>
  <si>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</si>
  <si>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</si>
  <si>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</si>
  <si>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</si>
  <si>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</si>
  <si>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</si>
  <si>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</si>
  <si>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</si>
  <si>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</si>
  <si>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</si>
  <si>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</si>
  <si>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</si>
  <si>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</si>
  <si>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</si>
  <si>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</si>
  <si>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</si>
  <si>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</si>
  <si>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</si>
  <si>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</si>
  <si>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</si>
  <si>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</si>
  <si>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</si>
  <si>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</si>
  <si>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</si>
  <si>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</si>
  <si>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</si>
  <si>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</si>
  <si>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</si>
  <si>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</si>
  <si>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</si>
  <si>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</si>
  <si>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</si>
  <si>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</si>
  <si>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</si>
  <si>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</si>
  <si>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</si>
  <si>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</si>
  <si>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</si>
  <si>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</si>
  <si>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</si>
  <si>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</si>
  <si>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</si>
  <si>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</si>
  <si>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</si>
  <si>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</si>
  <si>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</si>
  <si>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</si>
  <si>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</si>
  <si>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</si>
  <si>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</si>
  <si>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</si>
  <si>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</si>
  <si>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</si>
  <si>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</si>
  <si>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</si>
  <si>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</si>
  <si>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</si>
  <si>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</si>
  <si>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</si>
  <si>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</si>
  <si>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</si>
  <si>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</si>
  <si>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</si>
  <si>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</si>
  <si>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</si>
  <si>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</si>
  <si>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</si>
  <si>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</si>
  <si>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</si>
  <si>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</si>
  <si>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</si>
  <si>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</si>
  <si>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</si>
  <si>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</si>
  <si>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</si>
  <si>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</si>
  <si>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</si>
  <si>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</si>
  <si>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</si>
  <si>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</si>
  <si>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</si>
  <si>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</si>
  <si>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</si>
  <si>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</si>
  <si>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</si>
  <si>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</si>
  <si>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</si>
  <si>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</si>
  <si>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</si>
  <si>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</si>
  <si>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</si>
  <si>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</si>
  <si>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</si>
  <si>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</si>
  <si>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</si>
  <si>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</si>
  <si>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</si>
  <si>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</si>
  <si>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</si>
  <si>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</si>
  <si>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</si>
  <si>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</si>
  <si>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</si>
  <si>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</si>
  <si>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</si>
  <si>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</si>
  <si>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</si>
  <si>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</si>
  <si>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</si>
  <si>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</si>
  <si>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</si>
  <si>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</si>
  <si>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</si>
  <si>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</si>
  <si>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</si>
  <si>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</si>
  <si>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</si>
  <si>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</si>
  <si>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</si>
  <si>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</si>
  <si>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</si>
  <si>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</si>
  <si>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</si>
  <si>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</si>
  <si>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</si>
  <si>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</si>
  <si>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</si>
  <si>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</si>
  <si>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</si>
  <si>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</si>
  <si>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</si>
  <si>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</si>
  <si>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</si>
  <si>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</si>
  <si>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</si>
  <si>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</si>
  <si>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</si>
  <si>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</si>
  <si>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</si>
  <si>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</si>
  <si>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</si>
  <si>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</si>
  <si>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</si>
  <si>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</si>
  <si>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</si>
  <si>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</si>
  <si>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</si>
  <si>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</si>
  <si>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</si>
  <si>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</si>
  <si>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</si>
  <si>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</si>
  <si>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</si>
  <si>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</si>
  <si>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</si>
  <si>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</si>
  <si>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</si>
  <si>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</si>
  <si>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</si>
  <si>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</si>
  <si>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</si>
  <si>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</si>
  <si>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</si>
  <si>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</si>
  <si>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</si>
  <si>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</si>
  <si>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</si>
  <si>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</si>
  <si>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</si>
  <si>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</si>
  <si>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</si>
  <si>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</si>
  <si>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</si>
  <si>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</si>
  <si>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</si>
  <si>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</si>
  <si>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</si>
  <si>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</si>
  <si>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</si>
  <si>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</si>
  <si>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</si>
  <si>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</si>
  <si>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</si>
  <si>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</si>
  <si>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</si>
  <si>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</si>
  <si>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</si>
  <si>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</si>
  <si>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</si>
  <si>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</si>
  <si>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</si>
  <si>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</si>
  <si>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</si>
  <si>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</si>
  <si>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</si>
  <si>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</si>
  <si>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</si>
  <si>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</si>
  <si>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</si>
  <si>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</si>
  <si>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</si>
  <si>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</si>
  <si>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</si>
  <si>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</si>
  <si>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</si>
  <si>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</si>
  <si>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</si>
  <si>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</si>
  <si>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</si>
  <si>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</si>
  <si>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</si>
  <si>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</si>
  <si>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</si>
  <si>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</si>
  <si>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</si>
  <si>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</si>
  <si>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</si>
  <si>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</si>
  <si>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</si>
  <si>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</si>
  <si>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</si>
  <si>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</si>
  <si>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</si>
  <si>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</si>
  <si>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</si>
  <si>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</si>
  <si>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</si>
  <si>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</si>
  <si>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</si>
  <si>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</si>
  <si>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</si>
  <si>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</si>
  <si>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</si>
  <si>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</si>
  <si>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</si>
  <si>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</si>
  <si>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</si>
  <si>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</si>
  <si>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</si>
  <si>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</si>
  <si>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</si>
  <si>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</si>
  <si>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</si>
  <si>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</si>
  <si>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</si>
  <si>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</si>
  <si>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</si>
  <si>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</si>
  <si>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</si>
  <si>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</si>
  <si>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</si>
  <si>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</si>
  <si>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</si>
  <si>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</si>
  <si>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</si>
  <si>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</si>
  <si>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</si>
  <si>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</si>
  <si>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</si>
  <si>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</si>
  <si>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</si>
  <si>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</si>
  <si>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</si>
  <si>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</si>
  <si>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</si>
  <si>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</si>
  <si>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</si>
  <si>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</si>
  <si>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</si>
  <si>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</si>
  <si>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</si>
  <si>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</si>
  <si>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</si>
  <si>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</si>
  <si>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</si>
  <si>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</si>
  <si>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</si>
  <si>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</si>
  <si>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</si>
  <si>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</si>
  <si>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</si>
  <si>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</si>
  <si>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</si>
  <si>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</si>
  <si>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</si>
  <si>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</si>
  <si>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</si>
  <si>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</si>
  <si>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</si>
  <si>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</si>
  <si>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</si>
  <si>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</si>
  <si>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</si>
  <si>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</si>
  <si>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</si>
  <si>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</si>
  <si>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</si>
  <si>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</si>
  <si>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</si>
  <si>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</si>
  <si>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</si>
  <si>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</si>
  <si>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</si>
  <si>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</si>
  <si>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</si>
  <si>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</si>
  <si>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</si>
  <si>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</si>
  <si>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</si>
  <si>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</si>
  <si>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</si>
  <si>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</si>
  <si>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</si>
  <si>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</si>
  <si>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</si>
  <si>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</si>
  <si>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</si>
  <si>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</si>
  <si>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</si>
  <si>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</si>
  <si>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</si>
  <si>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</si>
  <si>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</si>
  <si>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</si>
  <si>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</si>
  <si>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</si>
  <si>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</si>
  <si>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</si>
  <si>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</si>
  <si>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</si>
  <si>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</si>
  <si>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</si>
  <si>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</si>
  <si>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</si>
  <si>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</si>
  <si>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</si>
  <si>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</si>
  <si>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</si>
  <si>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</si>
  <si>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</si>
  <si>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</si>
  <si>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</si>
  <si>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</si>
  <si>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</si>
  <si>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</si>
  <si>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</si>
  <si>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</si>
  <si>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</si>
  <si>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</si>
  <si>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</si>
  <si>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</si>
  <si>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</si>
  <si>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</si>
  <si>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</si>
  <si>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</si>
  <si>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</si>
  <si>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</si>
  <si>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</si>
  <si>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</si>
  <si>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</si>
  <si>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</si>
  <si>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</si>
  <si>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</si>
  <si>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</si>
  <si>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</si>
  <si>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</si>
  <si>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</si>
  <si>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</si>
  <si>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</si>
  <si>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</si>
  <si>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</si>
  <si>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</si>
  <si>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</si>
  <si>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</si>
  <si>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</si>
  <si>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</si>
  <si>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</si>
  <si>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</si>
  <si>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</si>
  <si>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</si>
  <si>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</si>
  <si>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</si>
  <si>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</si>
  <si>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</si>
  <si>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</si>
  <si>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</si>
  <si>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</si>
  <si>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</si>
  <si>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</si>
  <si>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</si>
  <si>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</si>
  <si>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</si>
  <si>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</si>
  <si>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</si>
  <si>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</si>
  <si>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</si>
  <si>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</si>
  <si>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</si>
  <si>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</si>
  <si>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</si>
  <si>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</si>
  <si>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</si>
  <si>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</si>
  <si>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</si>
  <si>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</si>
  <si>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</si>
  <si>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</si>
  <si>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</si>
  <si>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</si>
  <si>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</si>
  <si>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</si>
  <si>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</si>
  <si>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</si>
  <si>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</si>
  <si>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</si>
  <si>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</si>
  <si>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</si>
  <si>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</si>
  <si>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</si>
  <si>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</si>
  <si>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</si>
  <si>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</si>
  <si>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</si>
  <si>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</si>
  <si>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</si>
  <si>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</si>
  <si>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</si>
  <si>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</si>
  <si>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</si>
  <si>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</si>
  <si>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</si>
  <si>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</si>
  <si>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</si>
  <si>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</si>
  <si>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</si>
  <si>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</si>
  <si>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</si>
  <si>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</si>
  <si>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</si>
  <si>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</si>
  <si>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</si>
  <si>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</si>
  <si>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</si>
  <si>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</si>
  <si>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</si>
  <si>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</si>
  <si>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</si>
  <si>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</si>
  <si>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</si>
  <si>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</si>
  <si>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</si>
  <si>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</si>
  <si>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</si>
  <si>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</si>
  <si>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</si>
  <si>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</si>
  <si>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</si>
  <si>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</si>
  <si>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</si>
  <si>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</si>
  <si>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</si>
  <si>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</si>
  <si>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</si>
  <si>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</si>
  <si>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</si>
  <si>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</si>
  <si>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</si>
  <si>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</si>
  <si>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</si>
  <si>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</si>
  <si>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</si>
  <si>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</si>
  <si>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</si>
  <si>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</si>
  <si>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</si>
  <si>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</si>
  <si>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</si>
  <si>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</si>
  <si>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</si>
  <si>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</si>
  <si>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</si>
  <si>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</si>
  <si>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</si>
  <si>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</si>
  <si>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</si>
  <si>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</si>
  <si>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</si>
  <si>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</si>
  <si>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</si>
  <si>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</si>
  <si>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</si>
  <si>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</si>
  <si>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</si>
  <si>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</si>
  <si>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</si>
  <si>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</si>
  <si>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</si>
  <si>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</si>
  <si>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</si>
  <si>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</si>
  <si>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</si>
  <si>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</si>
  <si>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</si>
  <si>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</si>
  <si>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</si>
  <si>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</si>
  <si>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</si>
  <si>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</si>
  <si>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</si>
  <si>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</si>
  <si>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</si>
  <si>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</si>
  <si>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</si>
  <si>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</si>
  <si>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</si>
  <si>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</si>
  <si>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</si>
  <si>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</si>
  <si>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</si>
  <si>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</si>
  <si>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</si>
  <si>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</si>
  <si>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</si>
  <si>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</si>
  <si>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</si>
  <si>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</si>
  <si>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</si>
  <si>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</si>
  <si>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</si>
  <si>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</si>
  <si>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</si>
  <si>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</si>
  <si>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</si>
  <si>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</si>
  <si>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</si>
  <si>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</si>
  <si>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</si>
  <si>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</si>
  <si>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</si>
  <si>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</si>
  <si>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</si>
  <si>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</si>
  <si>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</si>
  <si>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</si>
  <si>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</si>
  <si>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</si>
  <si>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</si>
  <si>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</si>
  <si>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</si>
  <si>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</si>
  <si>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</si>
  <si>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</si>
  <si>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</si>
  <si>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</si>
  <si>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</si>
  <si>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</si>
  <si>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</si>
  <si>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</si>
  <si>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</si>
  <si>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</si>
  <si>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</si>
  <si>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</si>
  <si>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</si>
  <si>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</si>
  <si>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</si>
  <si>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</si>
  <si>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</si>
  <si>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</si>
  <si>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</si>
  <si>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</si>
  <si>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</si>
  <si>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</si>
  <si>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</si>
  <si>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</si>
  <si>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</si>
  <si>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</si>
  <si>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</si>
  <si>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</si>
  <si>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</si>
  <si>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</si>
  <si>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</si>
  <si>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</si>
  <si>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</si>
  <si>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</si>
  <si>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</si>
  <si>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</si>
  <si>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</si>
  <si>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</si>
  <si>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</si>
  <si>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</si>
  <si>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</si>
  <si>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</si>
  <si>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</si>
  <si>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</si>
  <si>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</si>
  <si>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</si>
  <si>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</si>
  <si>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</si>
  <si>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</si>
  <si>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</si>
  <si>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</si>
  <si>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</si>
  <si>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</si>
  <si>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</si>
  <si>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</si>
  <si>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</si>
  <si>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</si>
  <si>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</si>
  <si>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</si>
  <si>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</si>
  <si>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</si>
  <si>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</si>
  <si>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</si>
  <si>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</si>
  <si>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</si>
  <si>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</si>
  <si>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</si>
  <si>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</si>
  <si>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</si>
  <si>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</si>
  <si>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</si>
  <si>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</si>
  <si>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</si>
  <si>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</si>
  <si>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</si>
  <si>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</si>
  <si>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</si>
  <si>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</si>
  <si>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</si>
  <si>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</si>
  <si>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</si>
  <si>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</si>
  <si>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</si>
  <si>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</si>
  <si>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</si>
  <si>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</si>
  <si>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</si>
  <si>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</si>
  <si>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</si>
  <si>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</si>
  <si>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</si>
  <si>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</si>
  <si>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</si>
  <si>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</si>
  <si>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</si>
  <si>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</si>
  <si>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</si>
  <si>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</si>
  <si>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</si>
  <si>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</si>
  <si>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</si>
  <si>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</si>
  <si>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</si>
  <si>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</si>
  <si>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</si>
  <si>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</si>
  <si>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</si>
  <si>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</si>
  <si>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</si>
  <si>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</si>
  <si>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</si>
  <si>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</si>
  <si>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</si>
  <si>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</si>
  <si>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</si>
  <si>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</si>
  <si>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</si>
  <si>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</si>
  <si>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</si>
  <si>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</si>
  <si>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</si>
  <si>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</si>
  <si>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</si>
  <si>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</si>
  <si>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</si>
  <si>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</si>
  <si>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</si>
  <si>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</si>
  <si>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</si>
  <si>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</si>
  <si>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</si>
  <si>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</si>
  <si>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</si>
  <si>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</si>
  <si>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</si>
  <si>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</si>
  <si>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</si>
  <si>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</si>
  <si>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</si>
  <si>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</si>
  <si>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</si>
  <si>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</si>
  <si>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</si>
  <si>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</si>
  <si>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</si>
  <si>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</si>
  <si>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</si>
  <si>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</si>
  <si>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</si>
  <si>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</si>
  <si>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</si>
  <si>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</si>
  <si>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</si>
  <si>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</si>
  <si>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</si>
  <si>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</si>
  <si>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</si>
  <si>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</si>
  <si>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</si>
  <si>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</si>
  <si>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</si>
  <si>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</si>
  <si>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</si>
  <si>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</si>
  <si>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</si>
  <si>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</si>
  <si>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</si>
  <si>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</si>
  <si>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</si>
  <si>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</si>
  <si>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</si>
  <si>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</si>
  <si>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</si>
  <si>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</si>
  <si>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</si>
  <si>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</si>
  <si>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</si>
  <si>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</si>
  <si>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</si>
  <si>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</si>
  <si>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</si>
  <si>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</si>
  <si>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</si>
  <si>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</si>
  <si>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</si>
  <si>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</si>
  <si>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</si>
  <si>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</si>
  <si>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</si>
  <si>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</si>
  <si>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</si>
  <si>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</si>
  <si>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</si>
  <si>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</si>
  <si>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</si>
  <si>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</si>
  <si>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</si>
  <si>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</si>
  <si>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</si>
  <si>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</si>
  <si>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</si>
  <si>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</si>
  <si>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</si>
  <si>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</si>
  <si>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</si>
  <si>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</si>
  <si>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</si>
  <si>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</si>
  <si>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</si>
  <si>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</si>
  <si>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</si>
  <si>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</si>
  <si>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</si>
  <si>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</si>
  <si>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</si>
  <si>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</si>
  <si>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</si>
  <si>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</si>
  <si>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</si>
  <si>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</si>
  <si>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</si>
  <si>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</si>
  <si>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</si>
  <si>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</si>
  <si>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</si>
  <si>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</si>
  <si>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</si>
  <si>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</si>
  <si>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</si>
  <si>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</si>
  <si>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</si>
  <si>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</si>
  <si>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</si>
  <si>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</si>
  <si>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</si>
  <si>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</si>
  <si>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</si>
  <si>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</si>
  <si>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</si>
  <si>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</si>
  <si>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</si>
  <si>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</si>
  <si>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</si>
  <si>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</si>
  <si>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</si>
  <si>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</si>
  <si>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</si>
  <si>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</si>
  <si>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</si>
  <si>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</si>
  <si>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</si>
  <si>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</si>
  <si>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</si>
  <si>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</si>
  <si>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</si>
  <si>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</si>
  <si>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</si>
  <si>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</si>
  <si>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</si>
  <si>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</si>
  <si>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</si>
  <si>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</si>
  <si>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</si>
  <si>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</si>
  <si>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</si>
  <si>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</si>
  <si>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</si>
  <si>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</si>
  <si>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</si>
  <si>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</si>
  <si>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</si>
  <si>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</si>
  <si>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</si>
  <si>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</si>
  <si>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</si>
  <si>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</si>
  <si>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</si>
  <si>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</si>
  <si>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</si>
  <si>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</si>
  <si>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</si>
  <si>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</si>
  <si>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</si>
  <si>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</si>
  <si>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</si>
  <si>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</si>
  <si>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</si>
  <si>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</si>
  <si>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</si>
  <si>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</si>
  <si>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</si>
  <si>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</si>
  <si>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</si>
  <si>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</si>
  <si>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</si>
  <si>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</si>
  <si>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</si>
  <si>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</si>
  <si>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</si>
  <si>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</si>
  <si>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</si>
  <si>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</si>
  <si>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</si>
  <si>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</si>
  <si>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</si>
  <si>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</si>
  <si>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</si>
  <si>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</si>
  <si>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</si>
  <si>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</si>
  <si>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</si>
  <si>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</si>
  <si>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</si>
  <si>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</si>
  <si>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</si>
  <si>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</si>
  <si>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</si>
  <si>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</si>
  <si>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</si>
  <si>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</si>
  <si>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</si>
  <si>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</si>
  <si>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</si>
  <si>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</si>
  <si>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</si>
  <si>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</si>
  <si>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</si>
  <si>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</si>
  <si>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</si>
  <si>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</si>
  <si>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</si>
  <si>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</si>
  <si>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</si>
  <si>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</si>
  <si>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</si>
  <si>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</si>
  <si>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</si>
  <si>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</si>
  <si>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</si>
  <si>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</si>
  <si>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</si>
  <si>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</si>
  <si>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</si>
  <si>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</si>
  <si>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</si>
  <si>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</si>
  <si>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</si>
  <si>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</si>
  <si>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</si>
  <si>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</si>
  <si>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</si>
  <si>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</si>
  <si>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</si>
  <si>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</si>
  <si>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</si>
  <si>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</si>
  <si>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</si>
  <si>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</si>
  <si>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</si>
  <si>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</si>
  <si>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</si>
  <si>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</si>
  <si>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</si>
  <si>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</si>
  <si>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</si>
  <si>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</si>
  <si>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</si>
  <si>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</si>
  <si>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</si>
  <si>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</si>
  <si>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</si>
  <si>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</si>
  <si>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</si>
  <si>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</si>
  <si>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</si>
  <si>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</si>
  <si>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</si>
  <si>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</si>
  <si>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</si>
  <si>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</si>
  <si>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</si>
  <si>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</si>
  <si>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</si>
  <si>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</si>
  <si>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</si>
  <si>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</si>
  <si>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</si>
  <si>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</si>
  <si>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</si>
  <si>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</si>
  <si>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</si>
  <si>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</si>
  <si>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</si>
  <si>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</si>
  <si>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</si>
  <si>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</si>
  <si>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</si>
  <si>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</si>
  <si>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</si>
  <si>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</si>
  <si>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</si>
  <si>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</si>
  <si>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</si>
  <si>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</si>
  <si>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</si>
  <si>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</si>
  <si>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</si>
  <si>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</si>
  <si>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</si>
  <si>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</si>
  <si>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</si>
  <si>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</si>
  <si>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</si>
  <si>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</si>
  <si>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</si>
  <si>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</si>
  <si>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</si>
  <si>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</si>
  <si>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</si>
  <si>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</si>
  <si>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</si>
  <si>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</si>
  <si>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</si>
  <si>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</si>
  <si>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</si>
  <si>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</si>
  <si>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</si>
  <si>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</si>
  <si>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</si>
  <si>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</si>
  <si>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</si>
  <si>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</si>
  <si>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</si>
  <si>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</si>
  <si>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</si>
  <si>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</si>
  <si>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</si>
  <si>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</si>
  <si>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</si>
  <si>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</si>
  <si>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</si>
  <si>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</si>
  <si>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</si>
  <si>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</si>
  <si>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</si>
  <si>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</si>
  <si>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</si>
  <si>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</si>
  <si>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</si>
  <si>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</si>
  <si>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</si>
  <si>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</si>
  <si>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</si>
  <si>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</si>
  <si>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</si>
  <si>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</si>
  <si>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</si>
  <si>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</si>
  <si>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</si>
  <si>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</si>
  <si>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</si>
  <si>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</si>
  <si>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</si>
  <si>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</si>
  <si>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</si>
  <si>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</si>
  <si>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</si>
  <si>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</si>
  <si>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</si>
  <si>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</si>
  <si>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</si>
  <si>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</si>
  <si>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</si>
  <si>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</si>
  <si>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</si>
  <si>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</si>
  <si>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</si>
  <si>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</si>
  <si>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</si>
  <si>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</si>
  <si>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</si>
  <si>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</si>
  <si>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</si>
  <si>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</si>
  <si>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</si>
  <si>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</si>
  <si>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</si>
  <si>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</si>
  <si>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</si>
  <si>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</si>
  <si>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</si>
  <si>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</si>
  <si>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</si>
  <si>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</si>
  <si>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</si>
  <si>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</si>
  <si>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</si>
  <si>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</si>
  <si>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</si>
  <si>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</si>
  <si>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</si>
  <si>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</si>
  <si>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</si>
  <si>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</si>
  <si>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</si>
  <si>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</si>
  <si>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</si>
  <si>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</si>
  <si>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</si>
  <si>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</si>
  <si>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</si>
  <si>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</si>
  <si>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</si>
  <si>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</si>
  <si>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</si>
  <si>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</si>
  <si>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</si>
  <si>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</si>
  <si>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</si>
  <si>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</si>
  <si>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</si>
  <si>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</si>
  <si>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</si>
  <si>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</si>
  <si>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</si>
  <si>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</si>
  <si>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</si>
  <si>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</si>
  <si>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</si>
  <si>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</si>
  <si>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</si>
  <si>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</si>
  <si>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</si>
  <si>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</si>
  <si>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</si>
  <si>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</si>
  <si>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</si>
  <si>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</si>
  <si>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</si>
  <si>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</si>
  <si>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</si>
  <si>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</si>
  <si>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</si>
  <si>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</si>
  <si>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</si>
  <si>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</si>
  <si>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</si>
  <si>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</si>
  <si>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</si>
  <si>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</si>
  <si>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</si>
  <si>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</si>
  <si>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</si>
  <si>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</si>
  <si>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</si>
  <si>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</si>
  <si>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</si>
  <si>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</si>
  <si>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</si>
  <si>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</si>
  <si>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</si>
  <si>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</si>
  <si>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</si>
  <si>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</si>
  <si>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</si>
  <si>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</si>
  <si>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</si>
  <si>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</si>
  <si>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</si>
  <si>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</si>
  <si>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</si>
  <si>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</si>
  <si>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</si>
  <si>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</si>
  <si>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</si>
  <si>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</si>
  <si>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</si>
  <si>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</si>
  <si>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</si>
  <si>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</si>
  <si>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</si>
  <si>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</si>
  <si>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</si>
  <si>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</si>
  <si>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</si>
  <si>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</si>
  <si>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</si>
  <si>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</si>
  <si>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</si>
  <si>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</si>
  <si>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</si>
  <si>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</si>
  <si>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</si>
  <si>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</si>
  <si>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</si>
  <si>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</si>
  <si>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</si>
  <si>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</si>
  <si>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</si>
  <si>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</si>
  <si>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</si>
  <si>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</si>
  <si>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</si>
  <si>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</si>
  <si>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</si>
  <si>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</si>
  <si>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</si>
  <si>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</si>
  <si>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</si>
  <si>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</si>
  <si>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</si>
  <si>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</si>
  <si>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</si>
  <si>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</si>
  <si>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</si>
  <si>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</si>
  <si>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</si>
  <si>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</si>
  <si>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</si>
  <si>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</si>
  <si>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</si>
  <si>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</si>
  <si>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</si>
  <si>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</si>
  <si>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</si>
  <si>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</si>
  <si>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</si>
  <si>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</si>
  <si>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</si>
  <si>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</si>
  <si>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</si>
  <si>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</si>
  <si>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</si>
  <si>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</si>
  <si>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</si>
  <si>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</si>
  <si>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</si>
  <si>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</si>
  <si>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</si>
  <si>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</si>
  <si>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</si>
  <si>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</si>
  <si>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</si>
  <si>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</si>
  <si>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</si>
  <si>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</si>
  <si>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</si>
  <si>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</si>
  <si>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</si>
  <si>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</si>
  <si>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</si>
  <si>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</si>
  <si>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</si>
  <si>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</si>
  <si>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</si>
  <si>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</si>
  <si>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</si>
  <si>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</si>
  <si>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</si>
  <si>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</si>
  <si>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</si>
  <si>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</si>
  <si>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</si>
  <si>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</si>
  <si>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</si>
  <si>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</si>
  <si>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</si>
  <si>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</si>
  <si>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</si>
  <si>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</si>
  <si>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</si>
  <si>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</si>
  <si>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</si>
  <si>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</si>
  <si>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</si>
  <si>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</si>
  <si>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</si>
  <si>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</si>
  <si>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</si>
  <si>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</si>
  <si>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</si>
  <si>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</si>
  <si>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</si>
  <si>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</si>
  <si>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</si>
  <si>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</si>
  <si>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</si>
  <si>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</si>
  <si>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</si>
  <si>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</si>
  <si>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</si>
  <si>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</si>
  <si>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</si>
  <si>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</si>
  <si>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</si>
  <si>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</si>
  <si>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</si>
  <si>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</si>
  <si>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</si>
  <si>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</si>
  <si>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</si>
  <si>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</si>
  <si>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</si>
  <si>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</si>
  <si>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</si>
  <si>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</si>
  <si>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</si>
  <si>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</si>
  <si>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</si>
  <si>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</si>
  <si>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</si>
  <si>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</si>
  <si>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</si>
  <si>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</si>
  <si>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</si>
  <si>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</si>
  <si>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</si>
  <si>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</si>
  <si>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</si>
  <si>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</si>
  <si>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</si>
  <si>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</si>
  <si>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</si>
  <si>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</si>
  <si>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</si>
  <si>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</si>
  <si>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</si>
  <si>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</si>
  <si>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</si>
  <si>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</si>
  <si>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</si>
  <si>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</si>
  <si>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</si>
  <si>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</si>
  <si>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</si>
  <si>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</si>
  <si>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</si>
  <si>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</si>
  <si>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</si>
  <si>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</si>
  <si>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</si>
  <si>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</si>
  <si>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</si>
  <si>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</si>
  <si>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</si>
  <si>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</si>
  <si>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</si>
  <si>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</si>
  <si>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</si>
  <si>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</si>
  <si>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</si>
  <si>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</si>
  <si>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</si>
  <si>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</si>
  <si>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</si>
  <si>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</si>
  <si>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</si>
  <si>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</si>
  <si>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</si>
  <si>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</si>
  <si>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</si>
  <si>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</si>
  <si>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</si>
  <si>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</si>
  <si>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</si>
  <si>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</si>
  <si>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</si>
  <si>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</si>
  <si>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</si>
  <si>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</si>
  <si>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</si>
  <si>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</si>
  <si>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</si>
  <si>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</si>
  <si>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</si>
  <si>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</si>
  <si>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</si>
  <si>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</si>
  <si>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</si>
  <si>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</si>
  <si>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</si>
  <si>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</si>
  <si>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</si>
  <si>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</si>
  <si>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</si>
  <si>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</si>
  <si>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</si>
  <si>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</si>
  <si>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</si>
  <si>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</si>
  <si>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</si>
  <si>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</si>
  <si>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</si>
  <si>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</si>
  <si>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</si>
  <si>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</si>
  <si>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</si>
  <si>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</si>
  <si>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</si>
  <si>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</si>
  <si>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</si>
  <si>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</si>
  <si>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</si>
  <si>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</si>
  <si>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</si>
  <si>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</si>
  <si>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</si>
  <si>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</si>
  <si>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</si>
  <si>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</si>
  <si>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</si>
  <si>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</si>
  <si>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</si>
  <si>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</si>
  <si>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</si>
  <si>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</si>
  <si>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</si>
  <si>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</si>
  <si>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</si>
  <si>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</si>
  <si>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</si>
  <si>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</si>
  <si>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</si>
  <si>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</si>
  <si>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</si>
  <si>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</si>
  <si>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</si>
  <si>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</si>
  <si>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</si>
  <si>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</si>
  <si>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</si>
  <si>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</si>
  <si>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</si>
  <si>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</si>
  <si>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</si>
  <si>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</si>
  <si>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</si>
  <si>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</si>
  <si>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</si>
  <si>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</si>
  <si>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</si>
  <si>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</si>
  <si>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</si>
  <si>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</si>
  <si>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</si>
  <si>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</si>
  <si>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</si>
  <si>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</si>
  <si>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</si>
  <si>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</si>
  <si>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</si>
  <si>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</si>
  <si>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</si>
  <si>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</si>
  <si>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</si>
  <si>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</si>
  <si>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</si>
  <si>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</si>
  <si>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</si>
  <si>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</si>
  <si>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</si>
  <si>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</si>
  <si>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</si>
  <si>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</si>
  <si>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</si>
  <si>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</si>
  <si>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</si>
  <si>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</si>
  <si>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</si>
  <si>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</si>
  <si>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</si>
  <si>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</si>
  <si>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</si>
  <si>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</si>
  <si>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</si>
  <si>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</si>
  <si>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</si>
  <si>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</si>
  <si>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</si>
  <si>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</si>
  <si>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</si>
  <si>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</si>
  <si>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</si>
  <si>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</si>
  <si>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</si>
  <si>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</si>
  <si>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</si>
  <si>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</si>
  <si>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</si>
  <si>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</si>
  <si>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</si>
  <si>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</si>
  <si>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</si>
  <si>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</si>
  <si>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</si>
  <si>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</si>
  <si>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</si>
  <si>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</si>
  <si>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</si>
  <si>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</si>
  <si>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</si>
  <si>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</si>
  <si>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</si>
  <si>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</si>
  <si>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</si>
  <si>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</si>
  <si>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</si>
  <si>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</si>
  <si>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</si>
  <si>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</si>
  <si>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</si>
  <si>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</si>
  <si>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</si>
  <si>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</si>
  <si>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</si>
  <si>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</si>
  <si>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</si>
  <si>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</si>
  <si>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</si>
  <si>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</si>
  <si>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</si>
  <si>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</si>
  <si>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</si>
  <si>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</si>
  <si>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</si>
  <si>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</si>
  <si>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</si>
  <si>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</si>
  <si>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</si>
  <si>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</si>
  <si>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</si>
  <si>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</si>
  <si>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</si>
  <si>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</si>
  <si>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</si>
  <si>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</si>
  <si>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</si>
  <si>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</si>
  <si>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</si>
  <si>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</si>
  <si>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</si>
  <si>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</si>
  <si>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</si>
  <si>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</si>
  <si>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</si>
  <si>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</si>
  <si>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</si>
  <si>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</si>
  <si>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</si>
  <si>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</si>
  <si>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</si>
  <si>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</si>
  <si>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</si>
  <si>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</si>
  <si>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</si>
  <si>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</si>
  <si>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</si>
  <si>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</si>
  <si>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</si>
  <si>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</si>
  <si>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</si>
  <si>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</si>
  <si>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</si>
  <si>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</si>
  <si>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</si>
  <si>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</si>
  <si>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</si>
  <si>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</si>
  <si>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</si>
  <si>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</si>
  <si>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</si>
  <si>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</si>
  <si>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</si>
  <si>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</si>
  <si>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</si>
  <si>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</si>
  <si>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</si>
  <si>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</si>
  <si>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</si>
  <si>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</si>
  <si>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</si>
  <si>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</si>
  <si>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</si>
  <si>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</si>
  <si>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</si>
  <si>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</si>
  <si>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</si>
  <si>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</si>
  <si>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</si>
  <si>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</si>
  <si>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</si>
  <si>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</si>
  <si>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</si>
  <si>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</si>
  <si>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</si>
  <si>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</si>
  <si>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</si>
  <si>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</si>
  <si>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</si>
  <si>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</si>
  <si>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</si>
  <si>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</si>
  <si>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</si>
  <si>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</si>
  <si>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</si>
  <si>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</si>
  <si>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</si>
  <si>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</si>
  <si>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</si>
  <si>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</si>
  <si>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</si>
  <si>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</si>
  <si>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</si>
  <si>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</si>
  <si>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</si>
  <si>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</si>
  <si>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</si>
  <si>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</si>
  <si>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</si>
  <si>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</si>
  <si>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</si>
  <si>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</si>
  <si>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</si>
  <si>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</si>
  <si>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</si>
  <si>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</si>
  <si>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</si>
  <si>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</si>
  <si>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</si>
  <si>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</si>
  <si>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</si>
  <si>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</si>
  <si>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</si>
  <si>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</si>
  <si>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</si>
  <si>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</si>
  <si>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</si>
  <si>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</si>
  <si>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</si>
  <si>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</si>
  <si>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</si>
  <si>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</si>
  <si>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</si>
  <si>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</si>
  <si>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</si>
  <si>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</si>
  <si>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</si>
  <si>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</si>
  <si>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</si>
  <si>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</si>
  <si>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</si>
  <si>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</si>
  <si>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</si>
  <si>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</si>
  <si>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</si>
  <si>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</si>
  <si>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</si>
  <si>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</si>
  <si>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</si>
  <si>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</si>
  <si>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</si>
  <si>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</si>
  <si>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</si>
  <si>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</si>
  <si>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</si>
  <si>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</si>
  <si>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</si>
  <si>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</si>
  <si>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</si>
  <si>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</si>
  <si>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</si>
  <si>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</si>
  <si>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</si>
  <si>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</si>
  <si>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</si>
  <si>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</si>
  <si>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</si>
  <si>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</si>
  <si>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</si>
  <si>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</si>
  <si>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</si>
  <si>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</si>
  <si>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</si>
  <si>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</si>
  <si>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</si>
  <si>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</si>
  <si>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</si>
  <si>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</si>
  <si>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</si>
  <si>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</si>
  <si>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</si>
  <si>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</si>
  <si>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</si>
  <si>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</si>
  <si>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</si>
  <si>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</si>
  <si>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</si>
  <si>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</si>
  <si>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</si>
  <si>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</si>
  <si>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</si>
  <si>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</si>
  <si>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</si>
  <si>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</si>
  <si>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</si>
  <si>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</si>
  <si>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</si>
  <si>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</si>
  <si>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</si>
  <si>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</si>
  <si>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</si>
  <si>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</si>
  <si>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</si>
  <si>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</si>
  <si>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</si>
  <si>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</si>
  <si>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</si>
  <si>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</si>
  <si>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</si>
  <si>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</si>
  <si>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</si>
  <si>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</si>
  <si>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</si>
  <si>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</si>
  <si>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</si>
  <si>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</si>
  <si>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</si>
  <si>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</si>
  <si>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</si>
  <si>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</si>
  <si>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</si>
  <si>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</si>
  <si>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</si>
  <si>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</si>
  <si>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</si>
  <si>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</si>
  <si>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</si>
  <si>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</si>
  <si>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</si>
  <si>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</si>
  <si>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</si>
  <si>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</si>
  <si>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</si>
  <si>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</si>
  <si>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</si>
  <si>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</si>
  <si>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</si>
  <si>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</si>
  <si>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</si>
  <si>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</si>
  <si>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</si>
  <si>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</si>
  <si>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</si>
  <si>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</si>
  <si>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</si>
  <si>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</si>
  <si>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</si>
  <si>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</si>
  <si>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</si>
  <si>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</si>
  <si>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</si>
  <si>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</si>
  <si>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</si>
  <si>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</si>
  <si>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</si>
  <si>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</si>
  <si>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</si>
  <si>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</si>
  <si>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</si>
  <si>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</si>
  <si>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</si>
  <si>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</si>
  <si>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</si>
  <si>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</si>
  <si>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</si>
  <si>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</si>
  <si>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</si>
  <si>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</si>
  <si>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</si>
  <si>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</si>
  <si>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</si>
  <si>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</si>
  <si>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</si>
  <si>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</si>
  <si>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</si>
  <si>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</si>
  <si>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</si>
  <si>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</si>
  <si>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</si>
  <si>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</si>
  <si>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</si>
  <si>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</si>
  <si>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</si>
  <si>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</si>
  <si>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</si>
  <si>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</si>
  <si>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</si>
  <si>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</si>
  <si>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</si>
  <si>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</si>
  <si>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</si>
  <si>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</si>
  <si>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</si>
  <si>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</si>
  <si>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</si>
  <si>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</si>
  <si>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</si>
  <si>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</si>
  <si>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</si>
  <si>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</si>
  <si>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</si>
  <si>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</si>
  <si>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</si>
  <si>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</si>
  <si>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</si>
  <si>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</si>
  <si>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</si>
  <si>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</si>
  <si>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</si>
  <si>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</si>
  <si>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</si>
  <si>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</si>
  <si>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</si>
  <si>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</si>
  <si>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</si>
  <si>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</si>
  <si>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</si>
  <si>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</si>
  <si>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</si>
  <si>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</si>
  <si>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</si>
  <si>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</si>
  <si>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</si>
  <si>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</si>
  <si>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</si>
  <si>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</si>
  <si>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</si>
  <si>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</si>
  <si>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</si>
  <si>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</si>
  <si>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</si>
  <si>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</si>
  <si>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</si>
  <si>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</si>
  <si>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</si>
  <si>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</si>
  <si>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</si>
  <si>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</si>
  <si>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</si>
  <si>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</si>
  <si>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</si>
  <si>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</si>
  <si>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</si>
  <si>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</si>
  <si>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</si>
  <si>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</si>
  <si>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</si>
  <si>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</si>
  <si>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</si>
  <si>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</si>
  <si>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</si>
  <si>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</si>
  <si>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</si>
  <si>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</si>
  <si>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</si>
  <si>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</si>
  <si>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</si>
  <si>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</si>
  <si>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</si>
  <si>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</si>
  <si>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</si>
  <si>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</si>
  <si>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</si>
  <si>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</si>
  <si>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</si>
  <si>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</si>
  <si>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</si>
  <si>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</si>
  <si>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</si>
  <si>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</si>
  <si>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</si>
  <si>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</si>
  <si>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</si>
  <si>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</si>
  <si>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</si>
  <si>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</si>
  <si>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</si>
  <si>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</si>
  <si>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</si>
  <si>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</si>
  <si>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</si>
  <si>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</si>
  <si>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</si>
  <si>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</si>
  <si>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</si>
  <si>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</si>
  <si>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</si>
  <si>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</si>
  <si>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</si>
  <si>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</si>
  <si>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</si>
  <si>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</si>
  <si>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</si>
  <si>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</si>
  <si>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</si>
  <si>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</si>
  <si>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</si>
  <si>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</si>
  <si>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</si>
  <si>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</si>
  <si>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</si>
  <si>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</si>
  <si>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</si>
  <si>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</si>
  <si>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</si>
  <si>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</si>
  <si>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</si>
  <si>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</si>
  <si>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</si>
  <si>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</si>
  <si>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</si>
  <si>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</si>
  <si>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</si>
  <si>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</si>
  <si>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</si>
  <si>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</si>
  <si>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</si>
  <si>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</si>
  <si>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</si>
  <si>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</si>
  <si>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</si>
  <si>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</si>
  <si>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</si>
  <si>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</si>
  <si>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</si>
  <si>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</si>
  <si>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</si>
  <si>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</si>
  <si>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</si>
  <si>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</si>
  <si>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</si>
  <si>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</si>
  <si>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</si>
  <si>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</si>
  <si>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</si>
  <si>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</si>
  <si>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</si>
  <si>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</si>
  <si>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</si>
  <si>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</si>
  <si>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</si>
  <si>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</si>
  <si>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</si>
  <si>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</si>
  <si>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</si>
  <si>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</si>
  <si>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</si>
  <si>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</si>
  <si>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</si>
  <si>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</si>
  <si>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</si>
  <si>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</si>
  <si>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</si>
  <si>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</si>
  <si>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</si>
  <si>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</si>
  <si>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</si>
  <si>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</si>
  <si>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</si>
  <si>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</si>
  <si>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</si>
  <si>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</si>
  <si>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</si>
  <si>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</si>
  <si>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</si>
  <si>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</si>
  <si>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</si>
  <si>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</si>
  <si>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</si>
  <si>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</si>
  <si>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</si>
  <si>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</si>
  <si>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</si>
  <si>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</si>
  <si>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</si>
  <si>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</si>
  <si>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</si>
  <si>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</si>
  <si>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</si>
  <si>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</si>
  <si>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</si>
  <si>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</si>
  <si>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</si>
  <si>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</si>
  <si>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</si>
  <si>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</si>
  <si>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</si>
  <si>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</si>
  <si>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</si>
  <si>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</si>
  <si>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</si>
  <si>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</si>
  <si>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</si>
  <si>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</si>
  <si>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</si>
  <si>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</si>
  <si>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</si>
  <si>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</si>
  <si>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</si>
  <si>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</si>
  <si>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</si>
  <si>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</si>
  <si>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</si>
  <si>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</si>
  <si>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</si>
  <si>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</si>
  <si>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</si>
  <si>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</si>
  <si>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</si>
  <si>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</si>
  <si>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</si>
  <si>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</si>
  <si>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</si>
  <si>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</si>
  <si>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</si>
  <si>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</si>
  <si>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</si>
  <si>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</si>
  <si>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</si>
  <si>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</si>
  <si>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</si>
  <si>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</si>
  <si>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</si>
  <si>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</si>
  <si>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</si>
  <si>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</si>
  <si>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</si>
  <si>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</si>
  <si>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</si>
  <si>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</si>
  <si>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</si>
  <si>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</si>
  <si>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</si>
  <si>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</si>
  <si>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</si>
  <si>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</si>
  <si>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</si>
  <si>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</si>
  <si>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</si>
  <si>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</si>
  <si>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</si>
  <si>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</si>
  <si>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</si>
  <si>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</si>
  <si>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</si>
  <si>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</si>
  <si>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</si>
  <si>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</si>
  <si>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</si>
  <si>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</si>
  <si>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</si>
  <si>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</si>
  <si>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</si>
  <si>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</si>
  <si>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</si>
  <si>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</si>
  <si>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</si>
  <si>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</si>
  <si>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</si>
  <si>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</si>
  <si>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</si>
  <si>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</si>
  <si>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</si>
  <si>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</si>
  <si>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</si>
  <si>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</si>
  <si>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</si>
  <si>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</si>
  <si>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</si>
  <si>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</si>
  <si>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</si>
  <si>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</si>
  <si>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</si>
  <si>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</si>
  <si>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</si>
  <si>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</si>
  <si>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</si>
  <si>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</si>
  <si>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</si>
  <si>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</si>
  <si>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</si>
  <si>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</si>
  <si>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</si>
  <si>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</si>
  <si>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</si>
  <si>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</si>
  <si>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</si>
  <si>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</si>
  <si>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</si>
  <si>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</si>
  <si>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</si>
  <si>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</si>
  <si>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</si>
  <si>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</si>
  <si>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</si>
  <si>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</si>
  <si>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</si>
  <si>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</si>
  <si>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</si>
  <si>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</si>
  <si>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</si>
  <si>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</si>
  <si>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</si>
  <si>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</si>
  <si>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</si>
  <si>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</si>
  <si>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</si>
  <si>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</si>
  <si>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</si>
  <si>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</si>
  <si>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</si>
  <si>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</si>
  <si>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</si>
  <si>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</si>
  <si>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</si>
  <si>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</si>
  <si>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</si>
  <si>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</si>
  <si>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</si>
  <si>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</si>
  <si>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</si>
  <si>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</si>
  <si>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</si>
  <si>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</si>
  <si>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</si>
  <si>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</si>
  <si>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</si>
  <si>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</si>
  <si>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</si>
  <si>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</si>
  <si>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</si>
  <si>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</si>
  <si>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</si>
  <si>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</si>
  <si>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</si>
  <si>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</si>
  <si>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</si>
  <si>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</si>
  <si>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</si>
  <si>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</si>
  <si>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</si>
  <si>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</si>
  <si>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</si>
  <si>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</si>
  <si>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</si>
  <si>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</si>
  <si>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</si>
  <si>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</si>
  <si>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</si>
  <si>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</si>
  <si>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</si>
  <si>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</si>
  <si>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</si>
  <si>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</si>
  <si>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</si>
  <si>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</si>
  <si>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</si>
  <si>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</si>
  <si>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</si>
  <si>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</si>
  <si>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</si>
  <si>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</si>
  <si>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</si>
  <si>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</si>
  <si>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</si>
  <si>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</si>
  <si>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</si>
  <si>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</si>
  <si>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</si>
  <si>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</si>
  <si>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</si>
  <si>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</si>
  <si>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</si>
  <si>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</si>
  <si>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</si>
  <si>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</si>
  <si>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</si>
  <si>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</si>
  <si>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</si>
  <si>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</si>
  <si>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</si>
  <si>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</si>
  <si>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</si>
  <si>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</si>
  <si>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</si>
  <si>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</si>
  <si>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</si>
  <si>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</si>
  <si>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</si>
  <si>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</si>
  <si>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</si>
  <si>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</si>
  <si>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</si>
  <si>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</si>
  <si>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</si>
  <si>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</si>
  <si>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</si>
  <si>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</si>
  <si>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</si>
  <si>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</si>
  <si>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</si>
  <si>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</si>
  <si>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</si>
  <si>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</si>
  <si>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</si>
  <si>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</si>
  <si>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</si>
  <si>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</si>
  <si>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</si>
  <si>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</si>
  <si>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</si>
  <si>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</si>
  <si>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</si>
  <si>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</si>
  <si>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</si>
  <si>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</si>
  <si>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</si>
  <si>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</si>
  <si>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</si>
  <si>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</si>
  <si>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</si>
  <si>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</si>
  <si>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</si>
  <si>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</si>
  <si>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</si>
  <si>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</si>
  <si>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</si>
  <si>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</si>
  <si>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</si>
  <si>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</si>
  <si>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</si>
  <si>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</si>
  <si>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</si>
  <si>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</si>
  <si>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</si>
  <si>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</si>
  <si>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</si>
  <si>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</si>
  <si>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</si>
  <si>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</si>
  <si>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</si>
  <si>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</si>
  <si>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</si>
  <si>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</si>
  <si>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</si>
  <si>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</si>
  <si>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</si>
  <si>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</si>
  <si>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</si>
  <si>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</si>
  <si>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</si>
  <si>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</si>
  <si>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</si>
  <si>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</si>
  <si>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</si>
  <si>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</si>
  <si>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</si>
  <si>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</si>
  <si>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</si>
  <si>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</si>
  <si>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</si>
  <si>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</si>
  <si>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</si>
  <si>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</si>
  <si>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</si>
  <si>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</si>
  <si>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</si>
  <si>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</si>
  <si>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</si>
  <si>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</si>
  <si>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</si>
  <si>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</si>
  <si>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</si>
  <si>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</si>
  <si>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</si>
  <si>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</si>
  <si>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</si>
  <si>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</si>
  <si>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</si>
  <si>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</si>
  <si>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</si>
  <si>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</si>
  <si>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</si>
  <si>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</si>
  <si>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</si>
  <si>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</si>
  <si>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</si>
  <si>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</si>
  <si>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</si>
  <si>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</si>
  <si>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</si>
  <si>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</si>
  <si>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</si>
  <si>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</si>
  <si>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</si>
  <si>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</si>
  <si>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</si>
  <si>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</si>
  <si>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</si>
  <si>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</si>
  <si>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</si>
  <si>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</si>
  <si>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</si>
  <si>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</si>
  <si>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</si>
  <si>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</si>
  <si>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</si>
  <si>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</si>
  <si>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</si>
  <si>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</si>
  <si>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</si>
  <si>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</si>
  <si>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</si>
  <si>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</si>
  <si>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</si>
  <si>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</si>
  <si>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</si>
  <si>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</si>
  <si>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</si>
  <si>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</si>
  <si>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</si>
  <si>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</si>
  <si>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</si>
  <si>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</si>
  <si>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</si>
  <si>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</si>
  <si>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</si>
  <si>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</si>
  <si>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</si>
  <si>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</si>
  <si>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</si>
  <si>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</si>
  <si>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</si>
  <si>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</si>
  <si>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</si>
  <si>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</si>
  <si>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</si>
  <si>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</si>
  <si>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</si>
  <si>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</si>
  <si>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</si>
  <si>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</si>
  <si>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</si>
  <si>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</si>
  <si>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</si>
  <si>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</si>
  <si>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</si>
  <si>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</si>
  <si>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</si>
  <si>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</si>
  <si>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</si>
  <si>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</si>
  <si>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</si>
  <si>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</si>
  <si>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</si>
  <si>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</si>
  <si>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</si>
  <si>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</si>
  <si>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</si>
  <si>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</si>
  <si>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</si>
  <si>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</si>
  <si>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</si>
  <si>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</si>
  <si>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</si>
  <si>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</si>
  <si>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</si>
  <si>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</si>
  <si>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</si>
  <si>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</si>
  <si>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</si>
  <si>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</si>
  <si>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</si>
  <si>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</si>
  <si>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</si>
  <si>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</si>
  <si>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</si>
  <si>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</si>
  <si>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</si>
  <si>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</si>
  <si>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</si>
  <si>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</si>
  <si>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</si>
  <si>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</si>
  <si>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</si>
  <si>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</si>
  <si>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</si>
  <si>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</si>
  <si>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</si>
  <si>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</si>
  <si>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</si>
  <si>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</si>
  <si>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</si>
  <si>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</si>
  <si>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</si>
  <si>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</si>
  <si>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</si>
  <si>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</si>
  <si>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</si>
  <si>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</si>
  <si>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</si>
  <si>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</si>
  <si>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</si>
  <si>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</si>
  <si>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</si>
  <si>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</si>
  <si>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</si>
  <si>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</si>
  <si>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</si>
  <si>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</si>
  <si>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</si>
  <si>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</si>
  <si>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</si>
  <si>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</si>
  <si>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</si>
  <si>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</si>
  <si>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</si>
  <si>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</si>
  <si>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</si>
  <si>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</si>
  <si>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</si>
  <si>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</si>
  <si>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</si>
  <si>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</si>
  <si>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</si>
  <si>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</si>
  <si>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</si>
  <si>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</si>
  <si>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</si>
  <si>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</si>
  <si>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</si>
  <si>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</si>
  <si>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</si>
  <si>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</si>
  <si>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</si>
  <si>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</si>
  <si>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</si>
  <si>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</si>
  <si>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</si>
  <si>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</si>
  <si>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</si>
  <si>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</si>
  <si>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</si>
  <si>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</si>
  <si>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</si>
  <si>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</si>
  <si>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</si>
  <si>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</si>
  <si>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</si>
  <si>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</si>
  <si>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</si>
  <si>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</si>
  <si>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</si>
  <si>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</si>
  <si>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</si>
  <si>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</si>
  <si>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ＭＳ Ｐゴシック"/>
        <family val="2"/>
        <scheme val="minor"/>
      </rPr>
      <t>Metal</t>
    </r>
    <r>
      <rPr>
        <sz val="11"/>
        <rFont val="ＭＳ Ｐゴシック"/>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</si>
  <si>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</si>
  <si>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</si>
  <si>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</si>
  <si>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</si>
  <si>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</si>
  <si>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</si>
  <si>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</si>
  <si>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</si>
  <si>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</si>
  <si>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</si>
  <si>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</si>
  <si>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</si>
  <si>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</si>
  <si>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</si>
  <si>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</si>
  <si>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</si>
  <si>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</si>
  <si>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</si>
  <si>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</si>
  <si>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</si>
  <si>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</si>
  <si>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</si>
  <si>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</si>
  <si>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</si>
  <si>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</si>
  <si>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</si>
  <si>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</si>
  <si>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</si>
  <si>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</si>
  <si>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</si>
  <si>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</si>
  <si>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</si>
  <si>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</si>
  <si>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</si>
  <si>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</si>
  <si>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</si>
  <si>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</si>
  <si>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</si>
  <si>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</si>
  <si>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</si>
  <si>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</si>
  <si>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</si>
  <si>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</si>
  <si>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</si>
  <si>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</si>
  <si>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</si>
  <si>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</si>
  <si>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</si>
  <si>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</si>
  <si>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</si>
  <si>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</si>
  <si>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charset val="134"/>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</si>
  <si>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</si>
  <si>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</si>
  <si>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</si>
  <si>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</si>
  <si>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</si>
  <si>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</si>
  <si>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</si>
  <si>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</si>
  <si>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</si>
  <si>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</si>
  <si>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</si>
  <si>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</si>
  <si>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</si>
  <si>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</si>
  <si>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</si>
  <si>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</si>
  <si>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</si>
  <si>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</si>
  <si>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</si>
  <si>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</si>
  <si>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</si>
  <si>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</si>
  <si>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</si>
  <si>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</si>
  <si>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</si>
  <si>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</si>
  <si>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</si>
  <si>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</si>
  <si>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</si>
  <si>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</si>
  <si>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</si>
  <si>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</si>
  <si>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</si>
  <si>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</si>
  <si>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</si>
  <si>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</si>
  <si>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</si>
  <si>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</si>
  <si>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</si>
  <si>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</si>
  <si>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</si>
  <si>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</si>
  <si>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</si>
  <si>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</si>
  <si>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</si>
  <si>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</si>
  <si>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</si>
  <si>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</si>
  <si>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</si>
  <si>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</si>
  <si>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</si>
  <si>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</si>
  <si>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</si>
  <si>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</si>
  <si>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</si>
  <si>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</si>
  <si>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</si>
  <si>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</si>
  <si>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</si>
  <si>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</si>
  <si>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</si>
  <si>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</si>
  <si>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</si>
  <si>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</si>
  <si>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</si>
  <si>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</si>
  <si>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</si>
  <si>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</si>
  <si>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</si>
  <si>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</si>
  <si>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</si>
  <si>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</si>
  <si>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</si>
  <si>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</si>
  <si>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</si>
  <si>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</si>
  <si>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</si>
  <si>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</si>
  <si>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</si>
  <si>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</si>
  <si>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</si>
  <si>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</si>
  <si>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</si>
  <si>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</si>
  <si>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</si>
  <si>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</si>
  <si>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</si>
  <si>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</si>
  <si>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</si>
  <si>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</si>
  <si>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</si>
  <si>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</si>
  <si>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</si>
  <si>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</si>
  <si>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</si>
  <si>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</si>
  <si>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</si>
  <si>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</si>
  <si>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</si>
  <si>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</si>
  <si>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</si>
  <si>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</si>
  <si>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</si>
  <si>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</si>
  <si>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</si>
  <si>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</si>
  <si>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</si>
  <si>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</si>
  <si>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</si>
  <si>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</si>
  <si>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</si>
  <si>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</si>
  <si>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</si>
  <si>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</si>
  <si>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</si>
  <si>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</si>
  <si>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</si>
  <si>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</si>
  <si>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</si>
  <si>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</si>
  <si>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</si>
  <si>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</si>
  <si>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</si>
  <si>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</si>
  <si>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</si>
  <si>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</si>
  <si>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</si>
  <si>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</si>
  <si>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</si>
  <si>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</si>
  <si>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</si>
  <si>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</si>
  <si>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</si>
  <si>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</si>
  <si>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</si>
  <si>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</si>
  <si>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</si>
  <si>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</si>
  <si>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</si>
  <si>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</si>
  <si>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</si>
  <si>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</si>
  <si>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</si>
  <si>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</si>
  <si>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</si>
  <si>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</si>
  <si>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</si>
  <si>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</si>
  <si>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</si>
  <si>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</si>
  <si>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</si>
  <si>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</si>
  <si>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</si>
  <si>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</si>
  <si>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</si>
  <si>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</si>
  <si>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</si>
  <si>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</si>
  <si>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</si>
  <si>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</si>
  <si>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</si>
  <si>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</si>
  <si>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</si>
  <si>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</si>
  <si>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</si>
  <si>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</si>
  <si>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</si>
  <si>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</si>
  <si>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</si>
  <si>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</si>
  <si>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</si>
  <si>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</si>
  <si>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</si>
  <si>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</si>
  <si>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</si>
  <si>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</si>
  <si>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</si>
  <si>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</si>
  <si>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</si>
  <si>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</si>
  <si>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</si>
  <si>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</si>
  <si>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</si>
  <si>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</si>
  <si>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</si>
  <si>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</si>
  <si>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</si>
  <si>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</si>
  <si>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</si>
  <si>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</si>
  <si>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</si>
  <si>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</si>
  <si>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</si>
  <si>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</si>
  <si>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</si>
  <si>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</si>
  <si>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</si>
  <si>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</si>
  <si>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</si>
  <si>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</si>
  <si>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</si>
  <si>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</si>
  <si>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</si>
  <si>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</si>
  <si>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</si>
  <si>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</si>
  <si>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</si>
  <si>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</si>
  <si>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</si>
  <si>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</si>
  <si>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</si>
  <si>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</si>
  <si>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</si>
  <si>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</si>
  <si>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</si>
  <si>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</si>
  <si>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</si>
  <si>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</si>
  <si>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</si>
  <si>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</si>
  <si>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</si>
  <si>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</si>
  <si>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</si>
  <si>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</si>
  <si>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</si>
  <si>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</si>
  <si>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</si>
  <si>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</si>
  <si>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</si>
  <si>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</si>
  <si>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</si>
  <si>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</si>
  <si>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</si>
  <si>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</si>
  <si>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</si>
  <si>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</si>
  <si>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</si>
  <si>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</si>
  <si>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</si>
  <si>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</si>
  <si>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</si>
  <si>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</si>
  <si>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</si>
  <si>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</si>
  <si>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</si>
  <si>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</si>
  <si>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</si>
  <si>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</si>
  <si>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</si>
  <si>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</si>
  <si>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</si>
  <si>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</si>
  <si>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</si>
  <si>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</si>
  <si>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</si>
  <si>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</si>
  <si>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</si>
  <si>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</si>
  <si>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</si>
  <si>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</si>
  <si>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</si>
  <si>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</si>
  <si>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</si>
  <si>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</si>
  <si>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</si>
  <si>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</si>
  <si>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charset val="134"/>
      </rPr>
      <t>在“申报”选项卡 D115 单元格中回答贵公司是否有</t>
    </r>
    <r>
      <rPr>
        <sz val="11"/>
        <color rgb="FFFF0000"/>
        <rFont val="SimSun"/>
        <charset val="134"/>
      </rPr>
      <t>负责任矿物采购政策</t>
    </r>
  </si>
  <si>
    <t>在“申报”选项卡 D117 单元格中回答贵公司是否在贵公司的网站上公开发布您的负责任矿物采购政策</t>
  </si>
  <si>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</si>
  <si>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</si>
  <si>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</si>
  <si>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</si>
  <si>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</si>
  <si>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</si>
  <si>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</si>
  <si>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</si>
  <si>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</si>
  <si>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</si>
  <si>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</si>
  <si>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</si>
  <si>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</si>
  <si>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</si>
  <si>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</si>
  <si>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</si>
  <si>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</si>
  <si>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</si>
  <si>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</si>
  <si>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</si>
  <si>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</si>
  <si>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</si>
  <si>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</si>
  <si>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</si>
  <si>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</si>
  <si>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</si>
  <si>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</si>
  <si>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</si>
  <si>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</si>
  <si>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</si>
  <si>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</si>
  <si>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</si>
  <si>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</si>
  <si>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</si>
  <si>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</si>
  <si>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</si>
  <si>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</si>
  <si>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</si>
  <si>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</si>
  <si>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</si>
  <si>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</si>
  <si>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</si>
  <si>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</si>
  <si>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</si>
  <si>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</si>
  <si>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</si>
  <si>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</si>
  <si>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</si>
  <si>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</si>
  <si>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</si>
  <si>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</si>
  <si>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</si>
  <si>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</si>
  <si>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</si>
  <si>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</si>
  <si>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</si>
  <si>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</si>
  <si>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</si>
  <si>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</si>
  <si>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</si>
  <si>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</si>
  <si>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</si>
  <si>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</si>
  <si>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</si>
  <si>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</si>
  <si>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</si>
  <si>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</si>
  <si>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</si>
  <si>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</si>
  <si>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</si>
  <si>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</si>
  <si>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</si>
  <si>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</si>
  <si>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</si>
  <si>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</si>
  <si>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</si>
  <si>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</si>
  <si>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</si>
  <si>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</si>
  <si>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</si>
  <si>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</si>
  <si>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</si>
  <si>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</si>
  <si>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</si>
  <si>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</si>
  <si>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</si>
  <si>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</si>
  <si>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</si>
  <si>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</si>
  <si>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</si>
  <si>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</si>
  <si>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</si>
  <si>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</si>
  <si>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</si>
  <si>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</si>
  <si>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</si>
  <si>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</si>
  <si>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</si>
  <si>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</si>
  <si>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</si>
  <si>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</si>
  <si>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</si>
  <si>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</si>
  <si>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</si>
  <si>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</si>
  <si>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</si>
  <si>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</si>
  <si>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</si>
  <si>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</si>
  <si>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</si>
  <si>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</si>
  <si>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</si>
  <si>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</si>
  <si>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</si>
  <si>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</si>
  <si>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</si>
  <si>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</si>
  <si>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</si>
  <si>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</si>
  <si>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</si>
  <si>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</si>
  <si>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</si>
  <si>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</si>
  <si>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</si>
  <si>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</si>
  <si>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</si>
  <si>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</si>
  <si>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</si>
  <si>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</si>
  <si>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</si>
  <si>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</si>
  <si>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</si>
  <si>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</si>
  <si>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</si>
  <si>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</si>
  <si>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</si>
  <si>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</si>
  <si>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</si>
  <si>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</si>
  <si>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</si>
  <si>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</si>
  <si>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</si>
  <si>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</si>
  <si>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</si>
  <si>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</si>
  <si>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</si>
  <si>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</si>
  <si>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</si>
  <si>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</si>
  <si>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</si>
  <si>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</si>
  <si>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</si>
  <si>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</si>
  <si>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</si>
  <si>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</si>
  <si>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</si>
  <si>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</si>
  <si>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</si>
  <si>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</si>
  <si>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</si>
  <si>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</si>
  <si>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</si>
  <si>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</si>
  <si>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</si>
  <si>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</si>
  <si>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</si>
  <si>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</si>
  <si>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</si>
  <si>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</si>
  <si>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</si>
  <si>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</si>
  <si>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</si>
  <si>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</si>
  <si>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</si>
  <si>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</si>
  <si>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</si>
  <si>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</si>
  <si>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</si>
  <si>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</si>
  <si>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</si>
  <si>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</si>
  <si>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</si>
  <si>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</si>
  <si>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</si>
  <si>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</si>
  <si>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</si>
  <si>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</si>
  <si>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</si>
  <si>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</si>
  <si>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</si>
  <si>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</si>
  <si>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</si>
  <si>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</si>
  <si>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</si>
  <si>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</si>
  <si>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</si>
  <si>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</si>
  <si>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</si>
  <si>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</si>
  <si>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</si>
  <si>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</si>
  <si>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</si>
  <si>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</si>
  <si>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</si>
  <si>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</si>
  <si>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</si>
  <si>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</si>
  <si>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</si>
  <si>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</si>
  <si>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</si>
  <si>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</si>
  <si>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</si>
  <si>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</si>
  <si>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</si>
  <si>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</si>
  <si>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</si>
  <si>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</si>
  <si>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</si>
  <si>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</si>
  <si>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</si>
  <si>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</si>
  <si>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</si>
  <si>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</si>
  <si>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</si>
  <si>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</si>
  <si>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</si>
  <si>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</si>
  <si>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family val="3"/>
        <charset val="128"/>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</si>
  <si>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family val="3"/>
        <charset val="128"/>
      </rPr>
      <t>対象となる</t>
    </r>
    <r>
      <rPr>
        <sz val="11"/>
        <rFont val="ＭＳ Ｐゴシック"/>
        <family val="3"/>
        <charset val="128"/>
      </rPr>
      <t>鉱物について回答するものとします。これは2つある質問の2番目の質問で、</t>
    </r>
    <r>
      <rPr>
        <sz val="11"/>
        <color rgb="FFFF0000"/>
        <rFont val="ＭＳ Ｐゴシック"/>
        <family val="3"/>
        <charset val="128"/>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対象となる</t>
    </r>
    <r>
      <rPr>
        <sz val="11"/>
        <rFont val="ＭＳ Ｐゴシック"/>
        <family val="3"/>
        <charset val="128"/>
      </rPr>
      <t>鉱物がある程度完成品に残留している場合、</t>
    </r>
    <r>
      <rPr>
        <sz val="11"/>
        <color rgb="FFFF0000"/>
        <rFont val="ＭＳ Ｐゴシック"/>
        <family val="3"/>
        <charset val="128"/>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対象となる</t>
    </r>
    <r>
      <rPr>
        <sz val="11"/>
        <rFont val="ＭＳ Ｐゴシック"/>
        <family val="3"/>
        <charset val="128"/>
      </rPr>
      <t>鉱物も含まれます。多くの場合、メーカーは製造過程中に</t>
    </r>
    <r>
      <rPr>
        <sz val="11"/>
        <color rgb="FFFF0000"/>
        <rFont val="ＭＳ Ｐゴシック"/>
        <family val="3"/>
        <charset val="128"/>
      </rPr>
      <t>対象となる</t>
    </r>
    <r>
      <rPr>
        <sz val="11"/>
        <rFont val="ＭＳ Ｐゴシック"/>
        <family val="3"/>
        <charset val="128"/>
      </rPr>
      <t>鉱物の削除又は消耗を促進しようと努めますが、ある程度の</t>
    </r>
    <r>
      <rPr>
        <sz val="11"/>
        <color rgb="FFFF0000"/>
        <rFont val="ＭＳ Ｐゴシック"/>
        <family val="3"/>
        <charset val="128"/>
      </rPr>
      <t>対象となる</t>
    </r>
    <r>
      <rPr>
        <sz val="11"/>
        <rFont val="ＭＳ Ｐゴシック"/>
        <family val="3"/>
        <charset val="128"/>
      </rPr>
      <t>鉱物が残留します。</t>
    </r>
    <r>
      <rPr>
        <sz val="11"/>
        <color rgb="FFFF0000"/>
        <rFont val="ＭＳ Ｐゴシック"/>
        <family val="3"/>
        <charset val="128"/>
      </rPr>
      <t>対象となる</t>
    </r>
    <r>
      <rPr>
        <sz val="11"/>
        <rFont val="ＭＳ Ｐゴシック"/>
        <family val="3"/>
        <charset val="128"/>
      </rPr>
      <t>鉱物が製造過程中に加えられた又は含まれたが、その製造過程の完了時に</t>
    </r>
    <r>
      <rPr>
        <sz val="11"/>
        <color rgb="FFFF0000"/>
        <rFont val="ＭＳ Ｐゴシック"/>
        <family val="3"/>
        <charset val="128"/>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family val="3"/>
        <charset val="128"/>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</si>
  <si>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family val="3"/>
        <charset val="128"/>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family val="3"/>
        <charset val="128"/>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family val="3"/>
        <charset val="128"/>
      </rPr>
      <t>対象となる</t>
    </r>
    <r>
      <rPr>
        <sz val="11"/>
        <rFont val="ＭＳ Ｐゴシック"/>
        <family val="3"/>
        <charset val="128"/>
      </rPr>
      <t>鉱物に関して必須です。</t>
    </r>
  </si>
  <si>
    <r>
      <t>4.これは、製品に含まれる</t>
    </r>
    <r>
      <rPr>
        <sz val="11"/>
        <color rgb="FFFF0000"/>
        <rFont val="ＭＳ Ｐゴシック"/>
        <family val="3"/>
        <charset val="128"/>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family val="3"/>
        <charset val="128"/>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family val="3"/>
        <charset val="128"/>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</si>
  <si>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</si>
  <si>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</si>
  <si>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</si>
  <si>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</si>
  <si>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family val="3"/>
        <charset val="128"/>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family val="3"/>
        <charset val="128"/>
      </rPr>
      <t>調査していない</t>
    </r>
    <r>
      <rPr>
        <sz val="11"/>
        <rFont val="ＭＳ Ｐゴシック"/>
        <family val="3"/>
        <charset val="128"/>
      </rPr>
      <t xml:space="preserve">
質問1及び2の回答が「Yes（はい）」の場合、この質問は</t>
    </r>
    <r>
      <rPr>
        <sz val="11"/>
        <color rgb="FFFF0000"/>
        <rFont val="ＭＳ Ｐゴシック"/>
        <family val="3"/>
        <charset val="128"/>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</si>
  <si>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</si>
  <si>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</si>
  <si>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</si>
  <si>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</si>
  <si>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family val="3"/>
        <charset val="128"/>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3"/>
        <charset val="128"/>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</si>
  <si>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3"/>
        <charset val="128"/>
      </rPr>
      <t>対象となる</t>
    </r>
    <r>
      <rPr>
        <sz val="11"/>
        <rFont val="ＭＳ Ｐゴシック"/>
        <family val="3"/>
        <charset val="128"/>
      </rPr>
      <t>鉱物に関して必須です。</t>
    </r>
  </si>
  <si>
    <r>
      <t>質問A～Gの記入方法について（行113～137）。</t>
    </r>
    <r>
      <rPr>
        <sz val="11"/>
        <color rgb="FFFF0000"/>
        <rFont val="ＭＳ Ｐゴシック"/>
        <family val="3"/>
        <charset val="128"/>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</si>
  <si>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family val="3"/>
        <charset val="128"/>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</si>
  <si>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family val="3"/>
        <charset val="128"/>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</si>
  <si>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family val="3"/>
        <charset val="128"/>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</si>
  <si>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</si>
  <si>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family val="3"/>
        <charset val="128"/>
      </rPr>
      <t>金属は、質問 1 と 2 で対象となる鉱物について「はい」と答えた場合にのみ表示されます。</t>
    </r>
  </si>
  <si>
    <r>
      <t>1. 金属 - 在下拉菜单中，选择正在输入信息的矿厂所提炼的金属。</t>
    </r>
    <r>
      <rPr>
        <sz val="11"/>
        <color rgb="FFFF0000"/>
        <rFont val="SimSun"/>
        <charset val="134"/>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</si>
  <si>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</si>
  <si>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</si>
  <si>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</si>
  <si>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</si>
  <si>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</si>
  <si>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</si>
  <si>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</si>
  <si>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</si>
  <si>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</si>
  <si>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</si>
  <si>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</si>
  <si>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family val="3"/>
        <charset val="128"/>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</si>
  <si>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</si>
  <si>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</si>
  <si>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</si>
  <si>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</si>
  <si>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</si>
  <si>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</si>
  <si>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family val="3"/>
        <charset val="128"/>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</si>
  <si>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family val="3"/>
        <charset val="128"/>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</si>
  <si>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family val="3"/>
        <charset val="128"/>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</si>
  <si>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family val="3"/>
        <charset val="128"/>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</si>
  <si>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family val="3"/>
        <charset val="128"/>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</si>
  <si>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</si>
  <si>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</si>
  <si>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</si>
  <si>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</si>
  <si>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</si>
  <si>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</si>
  <si>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</si>
  <si>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</si>
  <si>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</si>
  <si>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</si>
  <si>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</si>
  <si>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</si>
  <si>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</si>
  <si>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</si>
  <si>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</si>
  <si>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</si>
  <si>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</si>
  <si>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</si>
  <si>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</si>
  <si>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</si>
  <si>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</si>
  <si>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</si>
  <si>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</si>
  <si>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</si>
  <si>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</si>
  <si>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</si>
  <si>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</si>
  <si>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</si>
  <si>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</si>
  <si>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</si>
  <si>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</si>
  <si>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</si>
  <si>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</si>
  <si>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</si>
  <si>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</si>
  <si>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</si>
  <si>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</si>
  <si>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</si>
  <si>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</si>
  <si>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charset val="134"/>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</si>
  <si>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</si>
  <si>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</si>
  <si>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</si>
  <si>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family val="3"/>
        <charset val="128"/>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</si>
  <si>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</si>
  <si>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</si>
  <si>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</si>
  <si>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</si>
  <si>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</si>
  <si>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</si>
  <si>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family val="3"/>
        <charset val="128"/>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</si>
  <si>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</si>
  <si>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</si>
  <si>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</si>
  <si>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</si>
  <si>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</si>
  <si>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</si>
  <si>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</si>
  <si>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</si>
  <si>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charset val="134"/>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charset val="134"/>
      </rPr>
      <t>回复方</t>
    </r>
    <r>
      <rPr>
        <sz val="11"/>
        <rFont val="SimSun"/>
        <family val="2"/>
      </rPr>
      <t>产品名称。
如果选择范围为“自定义”，用户必须描述</t>
    </r>
    <r>
      <rPr>
        <sz val="11"/>
        <color rgb="FFFF0000"/>
        <rFont val="SimSun"/>
        <charset val="134"/>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</si>
  <si>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family val="3"/>
        <charset val="128"/>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family val="3"/>
        <charset val="128"/>
      </rPr>
      <t>回答者</t>
    </r>
    <r>
      <rPr>
        <sz val="11"/>
        <rFont val="ＭＳ Ｐゴシック"/>
        <family val="3"/>
        <charset val="128"/>
      </rPr>
      <t>品目番号を製品リストシートのB列に記入してください。製品リストシートC列への</t>
    </r>
    <r>
      <rPr>
        <sz val="11"/>
        <color rgb="FFFF0000"/>
        <rFont val="ＭＳ Ｐゴシック"/>
        <family val="3"/>
        <charset val="128"/>
      </rPr>
      <t>回答者</t>
    </r>
    <r>
      <rPr>
        <sz val="11"/>
        <rFont val="ＭＳ Ｐゴシック"/>
        <family val="3"/>
        <charset val="128"/>
      </rPr>
      <t>品目説明の記入は任意です。
申告範囲に「ユーザー定義」を選択した場合、</t>
    </r>
    <r>
      <rPr>
        <sz val="11"/>
        <color rgb="FFFF0000"/>
        <rFont val="ＭＳ Ｐゴシック"/>
        <family val="3"/>
        <charset val="128"/>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</si>
  <si>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</si>
  <si>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</si>
  <si>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</si>
  <si>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</si>
  <si>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</si>
  <si>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</si>
  <si>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</si>
  <si>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</si>
  <si>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</si>
  <si>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</si>
  <si>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family val="3"/>
        <charset val="128"/>
      </rPr>
      <t>注：本文書の発行時点で、顕著な使用済みマイカの再生利用はありません。</t>
    </r>
  </si>
  <si>
    <r>
      <rPr>
        <sz val="11"/>
        <color rgb="FFFF0000"/>
        <rFont val="맑은 고딕"/>
        <family val="2"/>
        <charset val="129"/>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</si>
  <si>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</si>
  <si>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</si>
  <si>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</si>
  <si>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</si>
  <si>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</si>
  <si>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</si>
  <si>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</si>
  <si>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</si>
  <si>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</si>
  <si>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</si>
  <si>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</si>
  <si>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</si>
  <si>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</si>
  <si>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</si>
  <si>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</si>
  <si>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</si>
  <si>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</si>
  <si>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</si>
  <si>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</si>
  <si>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</si>
  <si>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</si>
  <si>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</si>
  <si>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</si>
  <si>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</si>
  <si>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</si>
  <si>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</si>
  <si>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</si>
  <si>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</si>
  <si>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</si>
  <si>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</si>
  <si>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</si>
  <si>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</si>
  <si>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</si>
  <si>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</si>
  <si>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</si>
  <si>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</si>
  <si>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</si>
  <si>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</si>
  <si>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</si>
  <si>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</si>
  <si>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</si>
  <si>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</si>
  <si>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</si>
  <si>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</si>
  <si>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</si>
  <si>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</si>
  <si>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</si>
  <si>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</si>
  <si>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</si>
  <si>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</si>
  <si>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</si>
  <si>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</si>
  <si>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</si>
  <si>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</si>
  <si>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</si>
  <si>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</si>
  <si>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</si>
  <si>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</si>
  <si>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</si>
  <si>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</si>
  <si>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</si>
  <si>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</si>
  <si>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ポリプラ・エボニック株式会社</t>
    <phoneticPr fontId="129"/>
  </si>
  <si>
    <t>兵庫県姫路市網干区新在家１２３９</t>
    <phoneticPr fontId="9" type="noConversion"/>
  </si>
  <si>
    <r>
      <rPr>
        <sz val="12"/>
        <rFont val="ＭＳ 明朝"/>
        <family val="1"/>
        <charset val="128"/>
      </rPr>
      <t>西</t>
    </r>
    <r>
      <rPr>
        <sz val="12"/>
        <rFont val="Cambria"/>
        <family val="1"/>
      </rPr>
      <t xml:space="preserve"> </t>
    </r>
    <r>
      <rPr>
        <sz val="12"/>
        <rFont val="ＭＳ Ｐゴシック"/>
        <family val="1"/>
        <charset val="128"/>
      </rPr>
      <t>芳夫</t>
    </r>
    <phoneticPr fontId="9" type="noConversion"/>
  </si>
  <si>
    <t>yo.nishi@pp-evonik.com</t>
    <phoneticPr fontId="9" type="noConversion"/>
  </si>
  <si>
    <t>079-273-4965</t>
    <phoneticPr fontId="9" type="noConversion"/>
  </si>
  <si>
    <t>部長</t>
    <rPh sb="0" eb="2">
      <t>ﾌﾞﾁｮｳ</t>
    </rPh>
    <phoneticPr fontId="84" type="noConversion"/>
  </si>
  <si>
    <t>ダイアミド　ペレット</t>
    <phoneticPr fontId="84" type="noConversion"/>
  </si>
  <si>
    <t>ダイアミド　パウダー</t>
    <phoneticPr fontId="84" type="noConversion"/>
  </si>
  <si>
    <t>ベスタミド　ペレット</t>
    <phoneticPr fontId="84" type="noConversion"/>
  </si>
  <si>
    <t>ベストジント　パウダー</t>
    <phoneticPr fontId="84" type="noConversion"/>
  </si>
  <si>
    <t>ベスタメルト　ペレット、パウダー</t>
    <phoneticPr fontId="84" type="noConversion"/>
  </si>
  <si>
    <t>トロガミド　ペレット</t>
    <phoneticPr fontId="84" type="noConversion"/>
  </si>
  <si>
    <t>ベスタキープ　ペレット　パウダー</t>
    <phoneticPr fontId="84" type="noConversion"/>
  </si>
  <si>
    <r>
      <rPr>
        <sz val="12"/>
        <rFont val="ＭＳ 明朝"/>
        <family val="1"/>
        <charset val="128"/>
      </rPr>
      <t>ダイアミド　</t>
    </r>
    <r>
      <rPr>
        <sz val="12"/>
        <rFont val="Cambria"/>
        <family val="1"/>
      </rPr>
      <t>L1965J</t>
    </r>
    <r>
      <rPr>
        <sz val="12"/>
        <rFont val="ＭＳ 明朝"/>
        <family val="1"/>
        <charset val="128"/>
      </rPr>
      <t>（マイカ含有）、</t>
    </r>
    <r>
      <rPr>
        <sz val="12"/>
        <rFont val="Cambria"/>
        <family val="1"/>
      </rPr>
      <t>D1940</t>
    </r>
    <r>
      <rPr>
        <sz val="12"/>
        <rFont val="ＭＳ Ｐ明朝"/>
        <family val="1"/>
        <charset val="128"/>
      </rPr>
      <t>（一部銅含有）</t>
    </r>
    <r>
      <rPr>
        <sz val="12"/>
        <rFont val="ＭＳ 明朝"/>
        <family val="1"/>
        <charset val="128"/>
      </rPr>
      <t>を除く</t>
    </r>
    <rPh sb="16" eb="18">
      <t>ｶﾞﾝﾕｳ</t>
    </rPh>
    <rPh sb="26" eb="28">
      <t>ｲﾁﾌﾞ</t>
    </rPh>
    <rPh sb="28" eb="29">
      <t>ﾄﾞｳ</t>
    </rPh>
    <rPh sb="29" eb="31">
      <t>ｶﾞﾝﾕｳ</t>
    </rPh>
    <rPh sb="33" eb="34">
      <t>ﾉｿﾞ</t>
    </rPh>
    <phoneticPr fontId="84" type="noConversion"/>
  </si>
  <si>
    <r>
      <rPr>
        <sz val="12"/>
        <rFont val="Yu Gothic"/>
        <family val="1"/>
        <charset val="128"/>
      </rPr>
      <t>ベスタキープ　</t>
    </r>
    <r>
      <rPr>
        <sz val="12"/>
        <rFont val="Cambria"/>
        <family val="1"/>
      </rPr>
      <t>2000FC30</t>
    </r>
    <r>
      <rPr>
        <sz val="12"/>
        <rFont val="ＭＳ Ｐ明朝"/>
        <family val="1"/>
        <charset val="128"/>
      </rPr>
      <t>、</t>
    </r>
    <r>
      <rPr>
        <sz val="12"/>
        <rFont val="Cambria"/>
        <family val="1"/>
      </rPr>
      <t>4000FC30</t>
    </r>
    <r>
      <rPr>
        <sz val="12"/>
        <rFont val="ＭＳ Ｐ明朝"/>
        <family val="1"/>
        <charset val="128"/>
      </rPr>
      <t>（グラファイト含有）を除く。ベスタキープ</t>
    </r>
    <r>
      <rPr>
        <sz val="12"/>
        <rFont val="Cambria"/>
        <family val="1"/>
      </rPr>
      <t>-J</t>
    </r>
    <r>
      <rPr>
        <sz val="12"/>
        <rFont val="ＭＳ Ｐ明朝"/>
        <family val="1"/>
        <charset val="128"/>
      </rPr>
      <t>　についてはお問い合わせください。</t>
    </r>
    <rPh sb="31" eb="33">
      <t>ｶﾞﾝﾕｳ</t>
    </rPh>
    <rPh sb="35" eb="36">
      <t>ﾉｿﾞ</t>
    </rPh>
    <rPh sb="53" eb="54">
      <t>ﾄ</t>
    </rPh>
    <rPh sb="55" eb="56">
      <t>ｱ</t>
    </rPh>
    <phoneticPr fontId="84" type="noConversion"/>
  </si>
  <si>
    <t>https://www.daicel.com/sustainability/social/supply-chain.html</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</si>
</sst>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_-* #,##0_-;\-* #,##0_-;_-* &quot;-&quot;_-;_-@_-"/>
    <numFmt numFmtId="181" formatCode="_-* #,##0.00_-;\-* #,##0.00_-;_-* &quot;-&quot;??_-;_-@_-"/>
    <numFmt numFmtId="182" formatCode="[$-409]mmmm\ d\,\ yyyy;@"/>
    <numFmt numFmtId="183" formatCode="[$-409]d\-mmm\-yyyy;@"/>
    <numFmt numFmtId="184" formatCode="_-&quot;$&quot;* #,##0_-;\-&quot;$&quot;* #,##0_-;_-&quot;$&quot;* &quot;-&quot;_-;_-@_-"/>
    <numFmt numFmtId="185" formatCode="_-&quot;$&quot;* #,##0.00_-;\-&quot;$&quot;* #,##0.00_-;_-&quot;$&quot;* &quot;-&quot;??_-;_-@_-"/>
    <numFmt numFmtId="186" formatCode="_-* #,##0\ &quot;€&quot;_-;\-* #,##0\ &quot;€&quot;_-;_-* &quot;-&quot;\ &quot;€&quot;_-;_-@_-"/>
    <numFmt numFmtId="187" formatCode="_-* #,##0\ _€_-;\-* #,##0\ _€_-;_-* &quot;-&quot;\ _€_-;_-@_-"/>
    <numFmt numFmtId="188" formatCode="_-* #,##0.00\ &quot;€&quot;_-;\-* #,##0.00\ &quot;€&quot;_-;_-* &quot;-&quot;??\ &quot;€&quot;_-;_-@_-"/>
    <numFmt numFmtId="189" formatCode="_-* #,##0.00\ _€_-;\-* #,##0.00\ _€_-;_-* &quot;-&quot;??\ _€_-;_-@_-"/>
    <numFmt numFmtId="190" formatCode="_-&quot;€&quot;\ * #,##0_-;\-&quot;€&quot;\ * #,##0_-;_-&quot;€&quot;\ * &quot;-&quot;_-;_-@_-"/>
    <numFmt numFmtId="191" formatCode="_-&quot;€&quot;\ * #,##0.00_-;\-&quot;€&quot;\ * #,##0.00_-;_-&quot;€&quot;\ * &quot;-&quot;??_-;_-@_-"/>
    <numFmt numFmtId="192" formatCode="0.0"/>
  </numFmts>
  <fonts count="135">
    <font>
      <sz val="10"/>
      <name val="Verdana"/>
      <family val="2"/>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0"/>
      <color theme="1"/>
      <name val="Arial"/>
      <family val="2"/>
    </font>
    <font>
      <sz val="11"/>
      <color theme="1"/>
      <name val="ＭＳ Ｐゴシック"/>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ＭＳ Ｐゴシック"/>
      <family val="2"/>
      <scheme val="minor"/>
    </font>
    <font>
      <sz val="11"/>
      <color rgb="FF9C0006"/>
      <name val="ＭＳ Ｐゴシック"/>
      <family val="3"/>
      <charset val="128"/>
    </font>
    <font>
      <sz val="11"/>
      <color rgb="FF9C0006"/>
      <name val="ＭＳ Ｐゴシック"/>
      <family val="2"/>
      <scheme val="minor"/>
    </font>
    <font>
      <b/>
      <sz val="11"/>
      <color rgb="FFFA7D00"/>
      <name val="ＭＳ Ｐゴシック"/>
      <family val="2"/>
      <scheme val="minor"/>
    </font>
    <font>
      <b/>
      <sz val="11"/>
      <color theme="0"/>
      <name val="ＭＳ Ｐゴシック"/>
      <family val="2"/>
      <scheme val="minor"/>
    </font>
    <font>
      <i/>
      <sz val="11"/>
      <color rgb="FF7F7F7F"/>
      <name val="ＭＳ Ｐゴシック"/>
      <family val="2"/>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u/>
      <sz val="10"/>
      <color theme="10"/>
      <name val="Arial"/>
      <family val="2"/>
    </font>
    <font>
      <u/>
      <sz val="11"/>
      <color theme="10"/>
      <name val="ＭＳ Ｐゴシック"/>
      <family val="2"/>
      <scheme val="minor"/>
    </font>
    <font>
      <u/>
      <sz val="12"/>
      <color theme="10"/>
      <name val="ＭＳ Ｐゴシック"/>
      <family val="2"/>
      <scheme val="minor"/>
    </font>
    <font>
      <sz val="11"/>
      <color rgb="FF3F3F76"/>
      <name val="ＭＳ Ｐゴシック"/>
      <family val="2"/>
      <scheme val="minor"/>
    </font>
    <font>
      <sz val="11"/>
      <color rgb="FFFA7D00"/>
      <name val="ＭＳ Ｐゴシック"/>
      <family val="2"/>
      <scheme val="minor"/>
    </font>
    <font>
      <sz val="11"/>
      <color rgb="FF9C6500"/>
      <name val="ＭＳ Ｐゴシック"/>
      <family val="2"/>
      <scheme val="minor"/>
    </font>
    <font>
      <sz val="10"/>
      <color theme="1"/>
      <name val="ＭＳ Ｐゴシック"/>
      <family val="2"/>
      <charset val="128"/>
    </font>
    <font>
      <sz val="11"/>
      <color theme="1"/>
      <name val="ＭＳ Ｐゴシック"/>
      <family val="3"/>
      <charset val="128"/>
    </font>
    <font>
      <sz val="12"/>
      <color theme="1"/>
      <name val="ＭＳ Ｐゴシック"/>
      <family val="2"/>
      <scheme val="minor"/>
    </font>
    <font>
      <b/>
      <sz val="11"/>
      <color rgb="FF3F3F3F"/>
      <name val="ＭＳ Ｐゴシック"/>
      <family val="2"/>
      <scheme val="minor"/>
    </font>
    <font>
      <sz val="18"/>
      <color theme="3"/>
      <name val="ＭＳ Ｐゴシック"/>
      <family val="2"/>
      <scheme val="major"/>
    </font>
    <font>
      <b/>
      <sz val="11"/>
      <color theme="1"/>
      <name val="ＭＳ Ｐゴシック"/>
      <family val="2"/>
      <scheme val="minor"/>
    </font>
    <font>
      <sz val="11"/>
      <color rgb="FFFF0000"/>
      <name val="ＭＳ Ｐゴシック"/>
      <family val="2"/>
      <scheme val="minor"/>
    </font>
    <font>
      <sz val="10"/>
      <color theme="1"/>
      <name val="Verdana"/>
      <family val="2"/>
    </font>
    <font>
      <sz val="10"/>
      <color theme="0" tint="-0.3498947111423078"/>
      <name val="Verdana"/>
      <family val="2"/>
    </font>
    <font>
      <sz val="11"/>
      <name val="ＭＳ Ｐゴシック"/>
      <family val="2"/>
      <scheme val="minor"/>
    </font>
    <font>
      <sz val="10"/>
      <name val="ＭＳ Ｐゴシック"/>
      <family val="1"/>
      <scheme val="major"/>
    </font>
    <font>
      <u/>
      <sz val="12"/>
      <color indexed="12"/>
      <name val="ＭＳ Ｐゴシック"/>
      <family val="1"/>
      <scheme val="major"/>
    </font>
    <font>
      <sz val="12"/>
      <name val="ＭＳ Ｐゴシック"/>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ＭＳ Ｐゴシック"/>
      <family val="2"/>
      <scheme val="minor"/>
    </font>
    <font>
      <sz val="11"/>
      <name val="SimSun"/>
      <charset val="134"/>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b/>
      <sz val="11"/>
      <name val="SimSun"/>
      <family val="2"/>
    </font>
    <font>
      <sz val="11"/>
      <name val="ＭＳ Ｐゴシック"/>
      <family val="3"/>
      <charset val="128"/>
      <scheme val="minor"/>
    </font>
    <font>
      <sz val="11"/>
      <color rgb="FF000000"/>
      <name val="SimSun"/>
      <charset val="134"/>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ＭＳ Ｐゴシック"/>
      <family val="1"/>
      <scheme val="major"/>
    </font>
    <font>
      <sz val="12"/>
      <color rgb="FF3C4043"/>
      <name val="Arial"/>
      <family val="2"/>
    </font>
    <font>
      <sz val="11"/>
      <name val="ＭＳ Ｐゴシック"/>
      <family val="3"/>
      <charset val="128"/>
    </font>
    <font>
      <sz val="11"/>
      <color rgb="FFFF0000"/>
      <name val="맑은 고딕"/>
      <family val="2"/>
      <charset val="129"/>
    </font>
    <font>
      <sz val="11"/>
      <name val="맑은 고딕"/>
      <family val="2"/>
      <charset val="129"/>
    </font>
    <font>
      <sz val="6"/>
      <name val="ＭＳ Ｐゴシック"/>
      <family val="3"/>
      <charset val="128"/>
      <scheme val="minor"/>
    </font>
    <font>
      <sz val="12"/>
      <name val="ＭＳ 明朝"/>
      <family val="1"/>
      <charset val="128"/>
    </font>
    <font>
      <sz val="12"/>
      <name val="ＭＳ Ｐゴシック"/>
      <family val="1"/>
      <charset val="128"/>
    </font>
    <font>
      <sz val="12"/>
      <name val="ＭＳ Ｐ明朝"/>
      <family val="1"/>
      <charset val="128"/>
    </font>
    <font>
      <sz val="12"/>
      <name val="Cambria"/>
      <family val="1"/>
      <charset val="128"/>
    </font>
    <font>
      <sz val="12"/>
      <name val="Yu Gothic"/>
      <family val="1"/>
      <charset val="128"/>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180"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6" fontId="13" fillId="0" borderId="0" applyFont="0" applyFill="0" applyBorder="0" applyAlignment="0" applyProtection="0"/>
    <xf numFmtId="184" fontId="13" fillId="0" borderId="0" applyFont="0" applyFill="0" applyBorder="0" applyAlignment="0" applyProtection="0"/>
    <xf numFmtId="186" fontId="13" fillId="0" borderId="0" applyFont="0" applyFill="0" applyBorder="0" applyAlignment="0" applyProtection="0"/>
    <xf numFmtId="190"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2" fontId="4" fillId="0" borderId="0"/>
    <xf numFmtId="0" fontId="82" fillId="0" borderId="0"/>
    <xf numFmtId="0" fontId="82" fillId="0" borderId="0"/>
    <xf numFmtId="182"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2" fontId="4" fillId="0" borderId="0"/>
    <xf numFmtId="0" fontId="10" fillId="0" borderId="0"/>
    <xf numFmtId="182" fontId="82" fillId="0" borderId="0"/>
    <xf numFmtId="0" fontId="5" fillId="0" borderId="0"/>
    <xf numFmtId="0" fontId="5" fillId="0" borderId="0"/>
    <xf numFmtId="182" fontId="10" fillId="0" borderId="0"/>
    <xf numFmtId="0" fontId="5" fillId="0" borderId="0"/>
    <xf numFmtId="0" fontId="10" fillId="0" borderId="0"/>
    <xf numFmtId="0" fontId="5" fillId="0" borderId="0"/>
    <xf numFmtId="0" fontId="66" fillId="0" borderId="0">
      <alignment vertical="center"/>
    </xf>
    <xf numFmtId="182"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2" fontId="4" fillId="0" borderId="0"/>
    <xf numFmtId="182"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2" fontId="13" fillId="0" borderId="0"/>
    <xf numFmtId="0" fontId="82" fillId="0" borderId="0"/>
    <xf numFmtId="0" fontId="82" fillId="0" borderId="0"/>
    <xf numFmtId="0" fontId="82" fillId="0" borderId="0"/>
    <xf numFmtId="182"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114" fillId="0" borderId="0" applyNumberFormat="0" applyFill="0" applyBorder="0" applyAlignment="0" applyProtection="0"/>
  </cellStyleXfs>
  <cellXfs count="486">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3"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2" fontId="0" fillId="45" borderId="13" xfId="0" applyNumberFormat="1" applyFill="1" applyBorder="1" applyAlignment="1">
      <alignment vertical="top" wrapText="1"/>
    </xf>
    <xf numFmtId="182" fontId="0" fillId="45" borderId="0" xfId="0" applyNumberFormat="1" applyFill="1"/>
    <xf numFmtId="182" fontId="12" fillId="45" borderId="0" xfId="0" applyNumberFormat="1" applyFont="1" applyFill="1"/>
    <xf numFmtId="182"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82"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2" fontId="7" fillId="45" borderId="0" xfId="0" applyNumberFormat="1" applyFont="1" applyFill="1" applyAlignment="1">
      <alignment horizontal="center" vertical="center" wrapText="1"/>
    </xf>
    <xf numFmtId="0" fontId="0" fillId="45" borderId="0" xfId="0" applyFill="1" applyAlignment="1">
      <alignment horizontal="center" vertical="center"/>
    </xf>
    <xf numFmtId="182"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82"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92"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6" fillId="0" borderId="0" xfId="0" applyFont="1" applyAlignment="1">
      <alignment vertical="top" wrapText="1"/>
    </xf>
    <xf numFmtId="0" fontId="128" fillId="0" borderId="0" xfId="0" applyFont="1" applyAlignment="1">
      <alignment vertical="top" wrapText="1"/>
    </xf>
    <xf numFmtId="49" fontId="133" fillId="45" borderId="33" xfId="0" applyNumberFormat="1" applyFont="1" applyFill="1" applyBorder="1" applyAlignment="1" applyProtection="1">
      <alignment horizontal="left" vertical="center" wrapText="1"/>
      <protection locked="0"/>
    </xf>
    <xf numFmtId="0" fontId="133" fillId="45" borderId="20" xfId="0" applyFont="1" applyFill="1" applyBorder="1" applyAlignment="1" applyProtection="1">
      <alignment horizontal="left" vertical="center" wrapText="1"/>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83" fontId="17" fillId="45" borderId="31" xfId="0" applyNumberFormat="1" applyFont="1" applyFill="1" applyBorder="1" applyAlignment="1" applyProtection="1">
      <alignment horizontal="left" wrapText="1"/>
      <protection locked="0"/>
    </xf>
    <xf numFmtId="183"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31"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20% - アクセント 1" xfId="687" builtinId="30" customBuiltin="1"/>
    <cellStyle name="20% - アクセント 2" xfId="691" builtinId="34" customBuiltin="1"/>
    <cellStyle name="20% - アクセント 3" xfId="695" builtinId="38" customBuiltin="1"/>
    <cellStyle name="20% - アクセント 4" xfId="699" builtinId="42" customBuiltin="1"/>
    <cellStyle name="20% - アクセント 5" xfId="703" builtinId="46" customBuiltin="1"/>
    <cellStyle name="20% - アクセント 6" xfId="707" builtinId="50"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40% - アクセント 1" xfId="688" builtinId="31" customBuiltin="1"/>
    <cellStyle name="40% - アクセント 2" xfId="692" builtinId="35" customBuiltin="1"/>
    <cellStyle name="40% - アクセント 3" xfId="696" builtinId="39" customBuiltin="1"/>
    <cellStyle name="40% - アクセント 4" xfId="700" builtinId="43" customBuiltin="1"/>
    <cellStyle name="40% - アクセント 5" xfId="704" builtinId="47" customBuiltin="1"/>
    <cellStyle name="40% - アクセント 6" xfId="708" builtinId="51"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60% - アクセント 1" xfId="689" builtinId="32" customBuiltin="1"/>
    <cellStyle name="60% - アクセント 2" xfId="693" builtinId="36" customBuiltin="1"/>
    <cellStyle name="60% - アクセント 3" xfId="697" builtinId="40" customBuiltin="1"/>
    <cellStyle name="60% - アクセント 4" xfId="701" builtinId="44" customBuiltin="1"/>
    <cellStyle name="60% - アクセント 5" xfId="705" builtinId="48" customBuiltin="1"/>
    <cellStyle name="60% - アクセント 6" xfId="709" builtinId="52" customBuiltin="1"/>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ed Cell 2" xfId="500" xr:uid="{00000000-0005-0000-0000-00003B020000}"/>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Warning Text 2" xfId="590" xr:uid="{00000000-0005-0000-0000-0000C3020000}"/>
    <cellStyle name="アクセント 1" xfId="686" builtinId="29" customBuiltin="1"/>
    <cellStyle name="アクセント 2" xfId="690" builtinId="33" customBuiltin="1"/>
    <cellStyle name="アクセント 3" xfId="694" builtinId="37" customBuiltin="1"/>
    <cellStyle name="アクセント 4" xfId="698" builtinId="41" customBuiltin="1"/>
    <cellStyle name="アクセント 5" xfId="702" builtinId="45" customBuiltin="1"/>
    <cellStyle name="アクセント 6" xfId="706" builtinId="49" customBuiltin="1"/>
    <cellStyle name="タイトル" xfId="670" builtinId="15" customBuiltin="1"/>
    <cellStyle name="チェック セル" xfId="682" builtinId="23" customBuiltin="1"/>
    <cellStyle name="どちらでもない" xfId="677" builtinId="28" customBuiltin="1"/>
    <cellStyle name="ハイパーリンク" xfId="831" builtinId="8"/>
    <cellStyle name="リンク セル" xfId="681" builtinId="24" customBuiltin="1"/>
    <cellStyle name="悪い" xfId="676" builtinId="27" customBuiltin="1"/>
    <cellStyle name="一般 7" xfId="592" xr:uid="{00000000-0005-0000-0000-0000C5020000}"/>
    <cellStyle name="計算" xfId="680" builtinId="22" customBuiltin="1"/>
    <cellStyle name="警告文" xfId="683" builtinId="11" customBuiltin="1"/>
    <cellStyle name="見出し 1" xfId="671" builtinId="16" customBuiltin="1"/>
    <cellStyle name="見出し 2" xfId="672" builtinId="17" customBuiltin="1"/>
    <cellStyle name="見出し 3" xfId="673" builtinId="18" customBuiltin="1"/>
    <cellStyle name="見出し 4" xfId="674" builtinId="19" customBuiltin="1"/>
    <cellStyle name="集計" xfId="685" builtinId="25" customBuiltin="1"/>
    <cellStyle name="出力" xfId="679" builtinId="21" customBuiltin="1"/>
    <cellStyle name="説明文" xfId="684" builtinId="53" customBuiltin="1"/>
    <cellStyle name="入力" xfId="678" builtinId="20" customBuiltin="1"/>
    <cellStyle name="標準" xfId="0" builtinId="0"/>
    <cellStyle name="標準 2" xfId="593" xr:uid="{00000000-0005-0000-0000-0000C6020000}"/>
    <cellStyle name="標準 2 2" xfId="594" xr:uid="{00000000-0005-0000-0000-0000C7020000}"/>
    <cellStyle name="標準 2 3" xfId="595" xr:uid="{00000000-0005-0000-0000-0000C8020000}"/>
    <cellStyle name="良い" xfId="675" builtinId="26" customBuiltin="1"/>
    <cellStyle name="표준 2" xfId="591" xr:uid="{00000000-0005-0000-0000-0000C4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yo.nishi@pp-evonik.com" TargetMode="External"/><Relationship Id="rId2" Type="http://schemas.openxmlformats.org/officeDocument/2006/relationships/hyperlink" Target="mailto:h.matsui@pp-evonik.com" TargetMode="External"/><Relationship Id="rId1" Type="http://schemas.openxmlformats.org/officeDocument/2006/relationships/hyperlink" Target="mailto:yo.nishi@pp-evonik.com"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daicel.com/sustainability/social/supply-chain.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3.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RMIウェブサイト：www.responsiblemineralsinitiative.org/</v>
      </c>
      <c r="B1" s="179"/>
    </row>
    <row r="2" spans="1:2" ht="15">
      <c r="A2" s="94" t="str">
        <f ca="1">OFFSET(L!$C$1,MATCH("Instructions"&amp;ADDRESS(ROW(),COLUMN(),4),L!$A:$A,0)-1,SL,,)</f>
        <v>始めに</v>
      </c>
      <c r="B2" s="179"/>
    </row>
    <row r="3" spans="1:2" ht="168.75" customHeight="1">
      <c r="A3" s="93" t="str">
        <f ca="1">OFFSET(L!$C$1,MATCH("Instructions"&amp;ADDRESS(ROW(),COLUMN(),4),L!$A:$A,0)-1,SL,,)</f>
        <v>この拡張鉱物報告テンプレート（EMRT）は、Responsible Minerals Initiative®（RMI®）が作成した、無料の標準報告テンプレートです。このテンプレートは鉱物の原産国と、使用される製錬業者、精製業者、加工業者に関しサプライチェーンを通して情報を収集することを円滑にし、OECD紛争地域および高リスク地域からの鉱物の責任あるサプライチェーンのためのデュー・ディリジェンスガイダンスに沿ったデュー・ディリジェンスの実施を支援します。このテンプレートは、責任ある鉱物保証プロセス（Responsible Minerals Assurance Process）に則った監査を受ける可能性のある、新たな製錬・精製業者の特定も支援します。
EM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v>
      </c>
      <c r="B3" s="179"/>
    </row>
    <row r="4" spans="1:2" ht="16.5" customHeight="1">
      <c r="A4" s="218"/>
      <c r="B4" s="179"/>
    </row>
    <row r="5" spans="1:2" ht="42" customHeight="1">
      <c r="A5" s="219" t="str">
        <f ca="1">OFFSET(L!$C$1,MATCH("Instructions"&amp;ADDRESS(ROW(),COLUMN(),4),L!$A:$A,0)-1,SL,,)</f>
        <v>会社情報の記入（7～26行）に関する解説。
回答は英語(半角)で入力してください。</v>
      </c>
      <c r="B5" s="179"/>
    </row>
    <row r="6" spans="1:2" ht="35.25" customHeight="1">
      <c r="A6" s="94" t="str">
        <f ca="1">OFFSET(L!$C$1,MATCH("Instructions"&amp;ADDRESS(ROW(),COLUMN(),4),L!$A:$A,0)-1,SL,,)</f>
        <v>注：(*)のある欄は必須回答項目です。</v>
      </c>
      <c r="B6" s="179"/>
    </row>
    <row r="7" spans="1:2" ht="48" customHeight="1">
      <c r="A7" s="197" t="str">
        <f ca="1">OFFSET(L!$C$1,MATCH("Instructions"&amp;ADDRESS(ROW(),COLUMN(),4),L!$A:$A,0)-1,SL,,)</f>
        <v>1. 貴社の正式名称を記入してください。省略形は使わないでください。このフィールドでは、他の社名やDBAなどを追加することができます。このフィールドは記入必須です。</v>
      </c>
      <c r="B7" s="179"/>
    </row>
    <row r="8" spans="1:2" ht="285">
      <c r="A8" s="197" t="str">
        <f ca="1">OFFSET(L!$C$1,MATCH("Instructions"&amp;ADDRESS(ROW(),COLUMN(),4),L!$A:$A,0)-1,SL,,)</f>
        <v>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対象となる鉱物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回答者品目番号を製品リストシートのB列に記入してください。製品リストシートC列への回答者品目説明の記入は任意です。
申告範囲に「ユーザー定義」を選択した場合、対象となる鉱物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v>
      </c>
      <c r="B8" s="179"/>
    </row>
    <row r="9" spans="1:2" ht="60">
      <c r="A9" s="197" t="str">
        <f ca="1">OFFSET(L!$C$1,MATCH("Instructions"&amp;ADDRESS(ROW(),COLUMN(),4),L!$A:$A,0)-1,SL,,)</f>
        <v>3. 貴社（依頼者）の鉱物の申告範囲を選択してください。これらのフィールドには、6種類のEMRT鉱物が含まれています。申告から鉱物を削除するには、「Delete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v>
      </c>
      <c r="B9" s="179"/>
    </row>
    <row r="10" spans="1:2" ht="34.5" customHeight="1">
      <c r="A10" s="93" t="str">
        <f ca="1">OFFSET(L!$C$1,MATCH("Instructions"&amp;ADDRESS(ROW(),COLUMN(),4),L!$A:$A,0)-1,SL,,)</f>
        <v>4.  貴社固有の識別番号又はコードを記入してください（DUNSナンバー、VATナンバー、顧客固有番号等）。</v>
      </c>
      <c r="B10" s="179"/>
    </row>
    <row r="11" spans="1:2" ht="20.25" customHeight="1">
      <c r="A11" s="93" t="str">
        <f ca="1">OFFSET(L!$C$1,MATCH("Instructions"&amp;ADDRESS(ROW(),COLUMN(),4),L!$A:$A,0)-1,SL,,)</f>
        <v>5. 固有の識別番号又はコードの発行元を記入してください（「DUNS」「VAT」「顧客」等）。</v>
      </c>
      <c r="B11" s="179"/>
    </row>
    <row r="12" spans="1:2" ht="20.25" customHeight="1">
      <c r="A12" s="93" t="str">
        <f ca="1">OFFSET(L!$C$1,MATCH("Instructions"&amp;ADDRESS(ROW(),COLUMN(),4),L!$A:$A,0)-1,SL,,)</f>
        <v>6. 貴社の住所を省略せずに記入してください（番地、市、州/都道府県、国、郵便番号） 。このフィールドは任意です。</v>
      </c>
      <c r="B12" s="179"/>
    </row>
    <row r="13" spans="1:2" ht="35.25" customHeight="1">
      <c r="A13" s="93" t="str">
        <f ca="1">OFFSET(L!$C$1,MATCH("Instructions"&amp;ADDRESS(ROW(),COLUMN(),4),L!$A:$A,0)-1,SL,,)</f>
        <v>7. 申告内容に関する連絡先の名前を記入してください。このフィールドは記入必須です。</v>
      </c>
      <c r="B13" s="179"/>
    </row>
    <row r="14" spans="1:2" ht="33" customHeight="1">
      <c r="A14" s="93" t="str">
        <f ca="1">OFFSET(L!$C$1,MATCH("Instructions"&amp;ADDRESS(ROW(),COLUMN(),4),L!$A:$A,0)-1,SL,,)</f>
        <v>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v>
      </c>
      <c r="B14" s="179"/>
    </row>
    <row r="15" spans="1:2" ht="20.25" customHeight="1">
      <c r="A15" s="93" t="str">
        <f ca="1">OFFSET(L!$C$1,MATCH("Instructions"&amp;ADDRESS(ROW(),COLUMN(),4),L!$A:$A,0)-1,SL,,)</f>
        <v>9. 連絡先電話番号を記入してください。このフィールドは記入必須です。</v>
      </c>
      <c r="B15" s="179"/>
    </row>
    <row r="16" spans="1:2" ht="49.5" customHeight="1">
      <c r="A16" s="93" t="str">
        <f ca="1">OFFSET(L!$C$1,MATCH("Instructions"&amp;ADDRESS(ROW(),COLUMN(),4),L!$A:$A,0)-1,SL,,)</f>
        <v>10.申告内容の回答責任者の名前を記入してください。連絡先と異なる人でも構いません。回答責任者を「同上」又は同様の表現は避けてください。このフィールドは記入必須です。</v>
      </c>
      <c r="B16" s="179"/>
    </row>
    <row r="17" spans="1:2" ht="32.25" customHeight="1">
      <c r="A17" s="93" t="str">
        <f ca="1">OFFSET(L!$C$1,MATCH("Instructions"&amp;ADDRESS(ROW(),COLUMN(),4),L!$A:$A,0)-1,SL,,)</f>
        <v>11. 回答責任者の役職を記入してください。このフィールドは任意です。</v>
      </c>
      <c r="B17" s="179"/>
    </row>
    <row r="18" spans="1:2" ht="30">
      <c r="A18" s="93" t="str">
        <f ca="1">OFFSET(L!$C$1,MATCH("Instructions"&amp;ADDRESS(ROW(),COLUMN(),4),L!$A:$A,0)-1,SL,,)</f>
        <v>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v>
      </c>
      <c r="B18" s="179"/>
    </row>
    <row r="19" spans="1:2" ht="31.5" customHeight="1">
      <c r="A19" s="93" t="str">
        <f ca="1">OFFSET(L!$C$1,MATCH("Instructions"&amp;ADDRESS(ROW(),COLUMN(),4),L!$A:$A,0)-1,SL,,)</f>
        <v>13. 回答責任者の電話番号を記入してください。このフィールドは任意です。</v>
      </c>
      <c r="B19" s="179"/>
    </row>
    <row r="20" spans="1:2" ht="35.5" customHeight="1">
      <c r="A20" s="93" t="str">
        <f ca="1">OFFSET(L!$C$1,MATCH("Instructions"&amp;ADDRESS(ROW(),COLUMN(),4),L!$A:$A,0)-1,SL,,)</f>
        <v>14. このテンプレートの作成日をDD-MMM-YYYY（例: 01-JAN-2012）の形式で記入してください。このフィールドは記入必須です。</v>
      </c>
      <c r="B20" s="179"/>
    </row>
    <row r="21" spans="1:2" ht="40.5" customHeight="1">
      <c r="A21" s="93" t="str">
        <f ca="1">OFFSET(L!$C$1,MATCH("Instructions"&amp;ADDRESS(ROW(),COLUMN(),4),L!$A:$A,0)-1,SL,,)</f>
        <v>15. 例えば、ファイル名を「会社名-日付.xlsx」として保存します（日付はYYYY-MM-DDで記述）。</v>
      </c>
      <c r="B21" s="179"/>
    </row>
    <row r="22" spans="1:2" ht="17.5" customHeight="1">
      <c r="A22" s="218"/>
      <c r="B22" s="179"/>
    </row>
    <row r="23" spans="1:2" ht="42.75" customHeight="1">
      <c r="A23" s="94" t="str">
        <f ca="1">OFFSET(L!$C$1,MATCH("Instructions"&amp;ADDRESS(ROW(),COLUMN(),4),L!$A:$A,0)-1,SL,,)</f>
        <v>デュー・ディリジェンスに関する6つの質問（28 - 107行）に対する解説。
回答は英語（半角）で入力してください。</v>
      </c>
      <c r="B23" s="179"/>
    </row>
    <row r="24" spans="1:2" ht="57.75" customHeight="1">
      <c r="A24" s="94" t="str">
        <f ca="1">OFFSET(L!$C$1,MATCH("Instructions"&amp;ADDRESS(ROW(),COLUMN(),4),L!$A:$A,0)-1,SL,,)</f>
        <v>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v>
      </c>
      <c r="B24" s="179"/>
    </row>
    <row r="25" spans="1:2" ht="30.75" customHeight="1">
      <c r="A25" s="94" t="str">
        <f ca="1">OFFSET(L!$C$1,MATCH("Instructions"&amp;ADDRESS(ROW(),COLUMN(),4),L!$A:$A,0)-1,SL,,)</f>
        <v>回答を補足する必要がある場合は、備考欄に記入してください。</v>
      </c>
      <c r="B25" s="179"/>
    </row>
    <row r="26" spans="1:2" ht="46.5" customHeight="1">
      <c r="A26" s="94" t="str">
        <f ca="1">OFFSET(L!$C$1,MATCH("Instructions"&amp;ADDRESS(ROW(),COLUMN(),4),L!$A:$A,0)-1,SL,,)</f>
        <v>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v>
      </c>
      <c r="B26" s="179"/>
    </row>
    <row r="27" spans="1:2" ht="105">
      <c r="A27" s="93" t="str">
        <f ca="1">OFFSET(L!$C$1,MATCH("Instructions"&amp;ADDRESS(ROW(),COLUMN(),4),L!$A:$A,0)-1,SL,,)</f>
        <v>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「Yes（はい）」「No（いいえ）」「Unknown（不明）」又は「Not declaring（本申告適用外）」で回答してください。「Not declaring（本申告適用外）」は、材料が申告の範囲内にない場合に使用できます。</v>
      </c>
      <c r="B27" s="179"/>
    </row>
    <row r="28" spans="1:2" ht="36" customHeight="1">
      <c r="A28" s="93" t="str">
        <f ca="1">OFFSET(L!$C$1,MATCH("Instructions"&amp;ADDRESS(ROW(),COLUMN(),4),L!$A:$A,0)-1,SL,,)</f>
        <v>「No（いいえ）」という回答に対して、コメント欄に具体的な内容の記入を要求する企業もあります。</v>
      </c>
      <c r="B28" s="179"/>
    </row>
    <row r="29" spans="1:2" ht="150">
      <c r="A29" s="93" t="str">
        <f ca="1">OFFSET(L!$C$1,MATCH("Instructions"&amp;ADDRESS(ROW(),COLUMN(),4),L!$A:$A,0)-1,SL,,)</f>
        <v>2. この質問は、質問1の回答が「Yes（はい）」である場合には対象となる鉱物について回答するものとします。これは2つある質問の2番目の質問で、対象となる鉱物がこの報告テンプレートの範囲内にあるか否かを判定するためにこの質問の回答は使用されます。この質問は、質問1の質問や回答と関連付けられています。この質問は、対象となる鉱物がある程度完成品に残留している場合、対象となる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対象となる鉱物も含まれます。多くの場合、メーカーは製造過程中に対象となる鉱物の削除又は消耗を促進しようと努めますが、ある程度の対象となる鉱物が残留します。対象となる鉱物が製造過程中に加えられた又は含まれたが、その製造過程の完了時に対象となる鉱物が残留しないように完全に除去された場合、この質問の回答は「No（いいえ）」となります。
この質問は、対象となる鉱物について回答する必要があります。「Yes（はい）」「No（いいえ）」又は「Unknown（不明）」で回答してください。この質問への回答は必須です。</v>
      </c>
      <c r="B29" s="179"/>
    </row>
    <row r="30" spans="1:2" ht="90">
      <c r="A30" s="93" t="str">
        <f ca="1">OFFSET(L!$C$1,MATCH("Instructions"&amp;ADDRESS(ROW(),COLUMN(),4),L!$A:$A,0)-1,SL,,)</f>
        <v>3.これは、製品または複数の製品に含まれる対象となる鉱物の一部が、紛争地域および高リスク地域（CAHRA）を原産としているかの申告です。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対象となる鉱物に関するこの質問には「Yes（はい）」「No（いいえ）」又は「Unknown（不明）」。「Yes（はい）」の場合は、具体的に備考欄に記入してください。「Unknown（不明）」と回答することも可能です。質問1及び2の回答が「Yes（はい）」の場合、この質問は対象となる鉱物に関して必須です。</v>
      </c>
      <c r="B30" s="179"/>
    </row>
    <row r="31" spans="1:2" ht="105">
      <c r="A31" s="93" t="str">
        <f ca="1">OFFSET(L!$C$1,MATCH("Instructions"&amp;ADDRESS(ROW(),COLUMN(),4),L!$A:$A,0)-1,SL,,)</f>
        <v>4.これは、製品に含まれる対象となる鉱物が再生利用品又はスクラップ起源を由来としているかどうかを示す申告です。
「Yes（はい）」「No（いいえ）」又は「Unknown（不明）」で回答してください。
「Yes（はい）」とは、対象となる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対象となる鉱物に関して必須です。</v>
      </c>
      <c r="B31" s="179"/>
    </row>
    <row r="32" spans="1:2" ht="180">
      <c r="A32" s="93" t="str">
        <f ca="1">OFFSET(L!$C$1,MATCH("Instructions"&amp;ADDRESS(ROW(),COLUMN(),4),L!$A:$A,0)-1,SL,,)</f>
        <v>5. 企業が、申告範囲内の製品に含まれる対象となる鉱物を供給すると合理的に考えられる全ての直接サプライヤーからの開示情報を受け取ったかを企業が判定する申告です。回答は、以下の中から選択してください。
- 100%
- 90%超
- 75%超
- 50%超
- 50%以下
- なし
- 調査していない
質問1及び2の回答が「Yes（はい）」の場合、この質問は対象となる鉱物に関して必須です。</v>
      </c>
      <c r="B32" s="179"/>
    </row>
    <row r="33" spans="1:2" ht="45">
      <c r="A33" s="93" t="str">
        <f ca="1">OFFSET(L!$C$1,MATCH("Instructions"&amp;ADDRESS(ROW(),COLUMN(),4),L!$A:$A,0)-1,SL,,)</f>
        <v>6. この質問は、サプライヤーがこの申告の対象となる対象となる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対象となる鉱物に関して必須です。</v>
      </c>
      <c r="B33" s="179"/>
    </row>
    <row r="34" spans="1:2" ht="45">
      <c r="A34" s="93" t="str">
        <f ca="1">OFFSET(L!$C$1,MATCH("Instructions"&amp;ADDRESS(ROW(),COLUMN(),4),L!$A:$A,0)-1,SL,,)</f>
        <v>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対象となる鉱物に関して必須です。</v>
      </c>
      <c r="B34" s="179"/>
    </row>
    <row r="35" spans="1:2" ht="15">
      <c r="A35" s="228"/>
      <c r="B35" s="179"/>
    </row>
    <row r="36" spans="1:2" ht="68.5" customHeight="1">
      <c r="A36" s="219" t="str">
        <f ca="1">OFFSET(L!$C$1,MATCH("Instructions"&amp;ADDRESS(ROW(),COLUMN(),4),L!$A:$A,0)-1,SL,,)</f>
        <v>質問A～Gの記入方法について（行113～137）。対象となる鉱物に対する質問1及び質問2の回答が「Yes（はい）」の場合、A～Gまでの質問は必須となります。　
英語のみで回答してください。</v>
      </c>
      <c r="B36" s="179"/>
    </row>
    <row r="37" spans="1:2" ht="90">
      <c r="A37" s="219" t="str">
        <f ca="1">OFFSET(L!$C$1,MATCH("Instructions"&amp;ADDRESS(ROW(),COLUMN(),4),L!$A:$A,0)-1,SL,,)</f>
        <v>「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次の質問A～Gは貴社の対象となる鉱物カ調達のデュー・ディリジェンス活動を評価するために設計されています。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v>
      </c>
      <c r="B37" s="179"/>
    </row>
    <row r="38" spans="1:2" ht="30">
      <c r="A38" s="93" t="str">
        <f ca="1">OFFSET(L!$C$1,MATCH("Instructions"&amp;ADDRESS(ROW(),COLUMN(),4),L!$A:$A,0)-1,SL,,)</f>
        <v>A. これは、責任ある鉱物調達方針が企業にあるかどうかを明らかにする申告です。「Yes（はい）」又は「No（いいえ）」で回答してください。
このフィールドは記入必須です。</v>
      </c>
      <c r="B38" s="179"/>
    </row>
    <row r="39" spans="1:2" ht="45">
      <c r="A39" s="93" t="str">
        <f ca="1">OFFSET(L!$C$1,MATCH("Instructions"&amp;ADDRESS(ROW(),COLUMN(),4),L!$A:$A,0)-1,SL,,)</f>
        <v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v>
      </c>
      <c r="B39" s="179"/>
    </row>
    <row r="40" spans="1:2" ht="45">
      <c r="A40" s="93" t="str">
        <f ca="1">OFFSET(L!$C$1,MATCH("Instructions"&amp;ADDRESS(ROW(),COLUMN(),4),L!$A:$A,0)-1,SL,,)</f>
        <v>C. 企業が、企業の直接サプライヤーに対して、独立した第三者の検証を受けた製錬業者及び加工業者から対象となる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v>
      </c>
      <c r="B40" s="179"/>
    </row>
    <row r="41" spans="1:2" ht="90">
      <c r="A41" s="93" t="str">
        <f ca="1">OFFSET(L!$C$1,MATCH("Instructions"&amp;ADDRESS(ROW(),COLUMN(),4),L!$A:$A,0)-1,SL,,)</f>
        <v xml:space="preserve">D. これは、企業が責任のある鉱物調達デュー・ディリジェンス対策の実施を要求しているかどうかを判定する質問です。 この質問は、企業のデュー・ディリジェンス対策の詳細を提供することは意図されていません。許容されるデュー・ディリジェンス対策の側面は、要求者および供給者が決定します。
この質問には「Yes（はい）」又は「No（いいえ）」で回答してください。「Yes（はい）」の場合、質問の備考欄で、実施したデュー・ディリジェンス対策を説明してください（例：OECDデュー・ディリジェンスの枠組み）。
</v>
      </c>
      <c r="B41" s="179"/>
    </row>
    <row r="42" spans="1:2" ht="135">
      <c r="A42" s="93" t="str">
        <f ca="1">OFFSET(L!$C$1,MATCH("Instructions"&amp;ADDRESS(ROW(),COLUMN(),4),L!$A:$A,0)-1,SL,,)</f>
        <v>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format（はい、他のフォーマットを使用）」と回答する場合、備考欄に追加情報を入力してください。この質問に対する許容可能な回答は以下のとおりです。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v>
      </c>
      <c r="B42" s="179"/>
    </row>
    <row r="43" spans="1:2" ht="120">
      <c r="A43" s="93" t="str">
        <f ca="1">OFFSET(L!$C$1,MATCH("Instructions"&amp;ADDRESS(ROW(),COLUMN(),4),L!$A:$A,0)-1,SL,,)</f>
        <v>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v>
      </c>
      <c r="B43" s="179"/>
    </row>
    <row r="44" spans="1:2" ht="30">
      <c r="A44" s="93" t="str">
        <f ca="1">OFFSET(L!$C$1,MATCH("Instructions"&amp;ADDRESS(ROW(),COLUMN(),4),L!$A:$A,0)-1,SL,,)</f>
        <v>G. これは、企業の検証プロセスに是正措置管理が含まれているかを判定するための質問です。「Yes（はい）」又は「No（いいえ）」で回答してください。コメントは、質問の備考欄に記入してください。このフィールドは記入必須です。</v>
      </c>
      <c r="B44" s="179"/>
    </row>
    <row r="45" spans="1:2" ht="16" customHeight="1">
      <c r="A45" s="218"/>
      <c r="B45" s="179"/>
    </row>
    <row r="46" spans="1:2" ht="60">
      <c r="A46" s="94" t="str">
        <f ca="1">OFFSET(L!$C$1,MATCH("Instructions"&amp;ADDRESS(ROW(),COLUMN(),4),L!$A:$A,0)-1,SL,,)</f>
        <v>Smelter List（製錬業者リスト）シートの記入に関する解説。
回答は英語（半角）で入力してください。
注：(*)のある欄は必須項目です。</v>
      </c>
      <c r="B46" s="179"/>
    </row>
    <row r="47" spans="1:2" ht="63.75" customHeight="1">
      <c r="A47" s="94" t="str">
        <f ca="1">OFFSET(L!$C$1,MATCH("Instructions"&amp;ADDRESS(ROW(),COLUMN(),4),L!$A:$A,0)-1,SL,,)</f>
        <v>このテンプレートは、Smelter Look-up （製錬業者検索）を使用して製錬業者、精製業者、または加工業者を特定することができます。Smelter Look-Up機能を利用するには、左から右へ順にB列とC列を記入する必要があります。
金属/製錬業者/国の組み合わせごとに別々の行を使用します。</v>
      </c>
      <c r="B47" s="179"/>
    </row>
    <row r="48" spans="1:2" ht="52" customHeight="1">
      <c r="A48" s="93" t="str">
        <f ca="1">OFFSET(L!$C$1,MATCH("Instructions"&amp;ADDRESS(ROW(),COLUMN(),4),L!$A:$A,0)-1,SL,,)</f>
        <v>1. 製錬業者識別番号の入力列－製錬業者識別番号が分かる場合は、その番号をA列に入力してください（B、C、E、F、G、I、およびJは自動入力されます）。A列は自動入力されません。</v>
      </c>
      <c r="B48" s="179"/>
    </row>
    <row r="49" spans="1:2" ht="43.5" customHeight="1">
      <c r="A49" s="93" t="str">
        <f ca="1">OFFSET(L!$C$1,MATCH("Instructions"&amp;ADDRESS(ROW(),COLUMN(),4),L!$A:$A,0)-1,SL,,)</f>
        <v>2. 金属(*) － ドロップダウンメニューを使用して、製錬業者情報を入力する該当金属を選択してください。金属は、質問 1 と 2 で対象となる鉱物について「はい」と答えた場合にのみ表示されます。このフィールドは記入必須です。</v>
      </c>
      <c r="B49" s="179"/>
    </row>
    <row r="50" spans="1:2" ht="60">
      <c r="A50" s="93" t="str">
        <f ca="1">OFFSET(L!$C$1,MATCH("Instructions"&amp;ADDRESS(ROW(),COLUMN(),4),L!$A:$A,0)-1,SL,,)</f>
        <v>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v>
      </c>
      <c r="B50" s="179"/>
    </row>
    <row r="51" spans="1:2" ht="30">
      <c r="A51" s="93" t="str">
        <f ca="1">OFFSET(L!$C$1,MATCH("Instructions"&amp;ADDRESS(ROW(),COLUMN(),4),L!$A:$A,0)-1,SL,,)</f>
        <v>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v>
      </c>
      <c r="B51" s="179"/>
    </row>
    <row r="52" spans="1:2" ht="45.75" customHeight="1">
      <c r="A52" s="93" t="str">
        <f ca="1">OFFSET(L!$C$1,MATCH("Instructions"&amp;ADDRESS(ROW(),COLUMN(),4),L!$A:$A,0)-1,SL,,)</f>
        <v>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v>
      </c>
      <c r="B52" s="179"/>
    </row>
    <row r="53" spans="1:2" ht="45">
      <c r="A53" s="93" t="str">
        <f ca="1">OFFSET(L!$C$1,MATCH("Instructions"&amp;ADDRESS(ROW(),COLUMN(),4),L!$A:$A,0)-1,SL,,)</f>
        <v>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v>
      </c>
      <c r="B53" s="179"/>
    </row>
    <row r="54" spans="1:2" ht="30">
      <c r="A54" s="93" t="str">
        <f ca="1">OFFSET(L!$C$1,MATCH("Instructions"&amp;ADDRESS(ROW(),COLUMN(),4),L!$A:$A,0)-1,SL,,)</f>
        <v>7. 製錬業者識別番号の発行元　－　これはF列に入力された製錬業者識別番号の発行元です。ドロップダウンボックスを使ってC列に製錬業者名を選択すると、この欄は自動入力されます。</v>
      </c>
      <c r="B54" s="179"/>
    </row>
    <row r="55" spans="1:2" ht="35.5" customHeight="1">
      <c r="A55" s="93" t="str">
        <f ca="1">OFFSET(L!$C$1,MATCH("Instructions"&amp;ADDRESS(ROW(),COLUMN(),4),L!$A:$A,0)-1,SL,,)</f>
        <v>8. 製錬業者所在地：番地　－　製錬業者の所在する番地を記入してください。</v>
      </c>
      <c r="B55" s="179"/>
    </row>
    <row r="56" spans="1:2" ht="15">
      <c r="A56" s="93" t="str">
        <f ca="1">OFFSET(L!$C$1,MATCH("Instructions"&amp;ADDRESS(ROW(),COLUMN(),4),L!$A:$A,0)-1,SL,,)</f>
        <v>9. 製錬業者所在地：市　－　製錬業者の所在する市を記入してください。</v>
      </c>
      <c r="B56" s="179"/>
    </row>
    <row r="57" spans="1:2" ht="34" customHeight="1">
      <c r="A57" s="93" t="str">
        <f ca="1">OFFSET(L!$C$1,MATCH("Instructions"&amp;ADDRESS(ROW(),COLUMN(),4),L!$A:$A,0)-1,SL,,)</f>
        <v>10. 製錬業者所在地： 州／県／省（該当する場合のみ回答）　－　製錬業者の所在する州又は県を記入してください。</v>
      </c>
      <c r="B57" s="179"/>
    </row>
    <row r="58" spans="1:2" ht="150">
      <c r="A58" s="93" t="str">
        <f ca="1">OFFSET(L!$C$1,MATCH("Instructions"&amp;ADDRESS(ROW(),COLUMN(),4),L!$A:$A,0)-1,SL,,)</f>
        <v xml:space="preserve">11. 製錬業者連絡先担当者名　－　 拡張鉱物報告テンプレート（EM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EMRT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v>
      </c>
      <c r="B58" s="179"/>
    </row>
    <row r="59" spans="1:2" ht="30">
      <c r="A59" s="93" t="str">
        <f ca="1">OFFSET(L!$C$1,MATCH("Instructions"&amp;ADDRESS(ROW(),COLUMN(),4),L!$A:$A,0)-1,SL,,)</f>
        <v>12. 製錬業者連絡先電子メール　－　上記製錬施設連絡先担当者のメールアドレスを記入してください。
例：John.Smith@SmelterXXX.com 　この欄を記入する前に、「製錬業者連絡先担当者名」の説明を確認してください。</v>
      </c>
      <c r="B59" s="179"/>
    </row>
    <row r="60" spans="1:2" ht="45">
      <c r="A60" s="93" t="str">
        <f ca="1">OFFSET(L!$C$1,MATCH("Instructions"&amp;ADDRESS(ROW(),COLUMN(),4),L!$A:$A,0)-1,SL,,)</f>
        <v>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v>
      </c>
      <c r="B60" s="179"/>
    </row>
    <row r="61" spans="1:2" ht="45">
      <c r="A61" s="93" t="str">
        <f ca="1">OFFSET(L!$C$1,MATCH("Instructions"&amp;ADDRESS(ROW(),COLUMN(),4),L!$A:$A,0)-1,SL,,)</f>
        <v>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v>
      </c>
      <c r="B61" s="179"/>
    </row>
    <row r="62" spans="1:2" ht="101.25" customHeight="1">
      <c r="A62" s="93" t="str">
        <f ca="1">OFFSET(L!$C$1,MATCH("Instructions"&amp;ADDRESS(ROW(),COLUMN(),4),L!$A:$A,0)-1,SL,,)</f>
        <v>15. 製錬業者がリサイクル又はスクラップ資源からの製錬プロセスの投入量を単独で取得するかどうかを示します。この質問は任意です。回答は、以下の中から選択してください。
- Yes（はい）
- No（いいえ）
- Unknown（不明）</v>
      </c>
      <c r="B62" s="179"/>
    </row>
    <row r="63" spans="1:2" ht="15">
      <c r="A63" s="93" t="str">
        <f ca="1">OFFSET(L!$C$1,MATCH("Instructions"&amp;ADDRESS(ROW(),COLUMN(),4),L!$A:$A,0)-1,SL,,)</f>
        <v>16. 備考　－　製錬業者に関するコメントがあれば備考欄に記述してください。例：製錬業者はYYY社に買収されている</v>
      </c>
      <c r="B63" s="179"/>
    </row>
    <row r="64" spans="1:2" ht="15">
      <c r="A64" s="218"/>
      <c r="B64" s="179"/>
    </row>
    <row r="65" spans="1:2" ht="30">
      <c r="A65" s="219" t="str">
        <f ca="1">OFFSET(L!$C$1,MATCH("Instructions"&amp;ADDRESS(ROW(),COLUMN(),4),L!$A:$A,0)-1,SL,,)</f>
        <v>Mine List（鉱山施設リスト）シートの記入に関する解説
回答は英語（半角）で入力してください。</v>
      </c>
      <c r="B65" s="179"/>
    </row>
    <row r="66" spans="1:2" ht="30">
      <c r="A66" s="93" t="str">
        <f ca="1">OFFSET(L!$C$1,MATCH("Instructions"&amp;ADDRESS(ROW(),COLUMN(),4),L!$A:$A,0)-1,SL,,)</f>
        <v>1. 金属 － ドロップダウンメニューを使用して、鉱山施設情報を入力する該当金属を選択してください。金属は、質問 1 と 2 で対象となる鉱物について「はい」と答えた場合にのみ表示されます。</v>
      </c>
      <c r="B66" s="179"/>
    </row>
    <row r="67" spans="1:2" ht="15">
      <c r="A67" s="93" t="str">
        <f ca="1">OFFSET(L!$C$1,MATCH("Instructions"&amp;ADDRESS(ROW(),COLUMN(),4),L!$A:$A,0)-1,SL,,)</f>
        <v>2. この鉱山施設を調達元にしている製錬業者の名称 - 可能な場合は、リストアップされた鉱山施設または採掘場を調達元にしている製錬業者の名称を記入する。</v>
      </c>
      <c r="B67" s="179"/>
    </row>
    <row r="68" spans="1:2" ht="15">
      <c r="A68" s="93" t="str">
        <f ca="1">OFFSET(L!$C$1,MATCH("Instructions"&amp;ADDRESS(ROW(),COLUMN(),4),L!$A:$A,0)-1,SL,,)</f>
        <v>3.  鉱山施設名－鉱山施設名を記入してください。</v>
      </c>
      <c r="B68" s="179"/>
    </row>
    <row r="69" spans="1:2" ht="30">
      <c r="A69" s="93" t="str">
        <f ca="1">OFFSET(L!$C$1,MATCH("Instructions"&amp;ADDRESS(ROW(),COLUMN(),4),L!$A:$A,0)-1,SL,,)</f>
        <v>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v>
      </c>
      <c r="B69" s="179"/>
    </row>
    <row r="70" spans="1:2" ht="15">
      <c r="A70" s="93" t="str">
        <f ca="1">OFFSET(L!$C$1,MATCH("Instructions"&amp;ADDRESS(ROW(),COLUMN(),4),L!$A:$A,0)-1,SL,,)</f>
        <v>5.鉱山施設識別番号の発行元　－　これはD列に入力された鉱山施設識別番号の発行元です。</v>
      </c>
      <c r="B70" s="179"/>
    </row>
    <row r="71" spans="1:2" ht="15">
      <c r="A71" s="93" t="str">
        <f ca="1">OFFSET(L!$C$1,MATCH("Instructions"&amp;ADDRESS(ROW(),COLUMN(),4),L!$A:$A,0)-1,SL,,)</f>
        <v>6. 鉱山施設所在地：国　－　ドロップダウンメニューの中から、鉱山施設の所在する国を選択してください。</v>
      </c>
      <c r="B71" s="179"/>
    </row>
    <row r="72" spans="1:2" ht="15">
      <c r="A72" s="93" t="str">
        <f ca="1">OFFSET(L!$C$1,MATCH("Instructions"&amp;ADDRESS(ROW(),COLUMN(),4),L!$A:$A,0)-1,SL,,)</f>
        <v>7.  鉱山施設所在地：番地　－　鉱山施設の所在する番地を記入してください。</v>
      </c>
      <c r="B72" s="179"/>
    </row>
    <row r="73" spans="1:2" ht="15">
      <c r="A73" s="93" t="str">
        <f ca="1">OFFSET(L!$C$1,MATCH("Instructions"&amp;ADDRESS(ROW(),COLUMN(),4),L!$A:$A,0)-1,SL,,)</f>
        <v>8.  鉱山施設所在地：市　－　鉱山施設の所在する市を記入してください。</v>
      </c>
      <c r="B73" s="179"/>
    </row>
    <row r="74" spans="1:2" ht="15">
      <c r="A74" s="93" t="str">
        <f ca="1">OFFSET(L!$C$1,MATCH("Instructions"&amp;ADDRESS(ROW(),COLUMN(),4),L!$A:$A,0)-1,SL,,)</f>
        <v>9.  鉱山施設所在地： 州／県／省（該当する場合のみ回答）　－　鉱山施設の所在する州又は県を記入してください。</v>
      </c>
      <c r="B74" s="179"/>
    </row>
    <row r="75" spans="1:2" ht="75">
      <c r="A75" s="93" t="str">
        <f ca="1">OFFSET(L!$C$1,MATCH("Instructions"&amp;ADDRESS(ROW(),COLUMN(),4),L!$A:$A,0)-1,SL,,)</f>
        <v>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v>
      </c>
      <c r="B75" s="179"/>
    </row>
    <row r="76" spans="1:2" ht="30">
      <c r="A76" s="93" t="str">
        <f ca="1">OFFSET(L!$C$1,MATCH("Instructions"&amp;ADDRESS(ROW(),COLUMN(),4),L!$A:$A,0)-1,SL,,)</f>
        <v>11. 鉱山施設連絡先電子メール　－　上記鉱山施設連絡先担当者のメールアドレスを記入してください。
例：John.Smith@MineXXX.com 　この欄を記入する前に、「鉱山施設連絡先担当者名」の説明を確認してください。</v>
      </c>
      <c r="B76" s="179"/>
    </row>
    <row r="77" spans="1:2" ht="45">
      <c r="A77" s="93" t="str">
        <f ca="1">OFFSET(L!$C$1,MATCH("Instructions"&amp;ADDRESS(ROW(),COLUMN(),4),L!$A:$A,0)-1,SL,,)</f>
        <v>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v>
      </c>
      <c r="B77" s="179"/>
    </row>
    <row r="78" spans="1:2" ht="15">
      <c r="A78" s="93" t="str">
        <f ca="1">OFFSET(L!$C$1,MATCH("Instructions"&amp;ADDRESS(ROW(),COLUMN(),4),L!$A:$A,0)-1,SL,,)</f>
        <v>13. 備考　－　鉱山施設に関するコメントがあれば備考欄に記述してください。例：鉱山施設はYYY社に買収されている</v>
      </c>
      <c r="B78" s="179"/>
    </row>
    <row r="79" spans="1:2" ht="15">
      <c r="A79" s="218"/>
      <c r="B79" s="179"/>
    </row>
    <row r="80" spans="1:2" ht="75">
      <c r="A80" s="219" t="str">
        <f ca="1">OFFSET(L!$C$1,MATCH("Instructions"&amp;ADDRESS(ROW(),COLUMN(),4),L!$A:$A,0)-1,SL,,)</f>
        <v>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v>
      </c>
      <c r="B80" s="179"/>
    </row>
    <row r="81" spans="1:2" ht="15">
      <c r="A81" s="218"/>
      <c r="B81" s="179"/>
    </row>
    <row r="82" spans="1:2" ht="18" customHeight="1">
      <c r="A82" s="94" t="str">
        <f ca="1">OFFSET(L!$C$1,MATCH("Instructions"&amp;ADDRESS(ROW(),COLUMN(),4),L!$A:$A,0)-1,SL,,)</f>
        <v>利用規約</v>
      </c>
      <c r="B82" s="179"/>
    </row>
    <row r="83" spans="1:2" ht="90">
      <c r="A83" s="94" t="str">
        <f ca="1">OFFSET(L!$C$1,MATCH("Instructions"&amp;ADDRESS(ROW(),COLUMN(),4),L!$A:$A,0)-1,SL,,)</f>
        <v>拡張鉱物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v>
      </c>
      <c r="B83" s="179"/>
    </row>
    <row r="84" spans="1:2" ht="45">
      <c r="A84" s="94" t="str">
        <f ca="1">OFFSET(L!$C$1,MATCH("Instructions"&amp;ADDRESS(ROW(),COLUMN(),4),L!$A:$A,0)-1,SL,,)</f>
        <v>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v>
      </c>
      <c r="B84" s="179"/>
    </row>
    <row r="85" spans="1:2" ht="45">
      <c r="A85" s="94" t="str">
        <f ca="1">OFFSET(L!$C$1,MATCH("Instructions"&amp;ADDRESS(ROW(),COLUMN(),4),L!$A:$A,0)-1,SL,,)</f>
        <v>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v>
      </c>
      <c r="B85" s="179"/>
    </row>
    <row r="86" spans="1:2" ht="90">
      <c r="A86" s="94" t="str">
        <f ca="1">OFFSET(L!$C$1,MATCH("Instructions"&amp;ADDRESS(ROW(),COLUMN(),4),L!$A:$A,0)-1,SL,,)</f>
        <v>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v>
      </c>
      <c r="B86" s="179"/>
    </row>
    <row r="87" spans="1:2" ht="45">
      <c r="A87" s="94" t="str">
        <f ca="1">OFFSET(L!$C$1,MATCH("Instructions"&amp;ADDRESS(ROW(),COLUMN(),4),L!$A:$A,0)-1,SL,,)</f>
        <v>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v>
      </c>
      <c r="B87" s="179"/>
    </row>
    <row r="88" spans="1:2" ht="15">
      <c r="A88" s="94" t="str">
        <f ca="1">OFFSET(L!$C$1,MATCH("Instructions"&amp;ADDRESS(ROW(),COLUMN(),4),L!$A:$A,0)-1,SL,,)</f>
        <v>リストもしくはツールへのアクセス、又はその利用によって、またそれを考慮して、使用者は前述の事項に同意するものとします。</v>
      </c>
      <c r="B88" s="179"/>
    </row>
    <row r="89" spans="1:2" ht="15">
      <c r="A89" s="93" t="str">
        <f ca="1">OFFSET(L!$C$1,MATCH("General"&amp;"Cpy",L!$A:$A,0)-1,SL,,)</f>
        <v>© 2025 Responsible Minerals Initiative. 無断転載・再配布禁止。</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3.5"/>
  <cols>
    <col min="1" max="1" width="1" customWidth="1"/>
    <col min="2" max="2" width="10" customWidth="1"/>
    <col min="3" max="3" width="11.4609375" customWidth="1"/>
    <col min="4" max="4" width="17" style="148" customWidth="1"/>
    <col min="5" max="5" width="42.15234375" customWidth="1"/>
    <col min="6" max="6" width="53.15234375" customWidth="1"/>
    <col min="7" max="7" width="1" customWidth="1"/>
  </cols>
  <sheetData>
    <row r="1" spans="1:7" ht="14" thickTop="1">
      <c r="A1" s="3"/>
      <c r="B1" s="4"/>
      <c r="C1" s="4"/>
      <c r="D1" s="145"/>
      <c r="E1" s="4"/>
      <c r="F1" s="4"/>
      <c r="G1" s="5"/>
    </row>
    <row r="2" spans="1:7">
      <c r="A2" s="389"/>
      <c r="B2" s="1" t="s">
        <v>1</v>
      </c>
      <c r="C2" s="2"/>
      <c r="D2" s="146"/>
      <c r="E2" s="2"/>
      <c r="F2" s="2"/>
      <c r="G2" s="24"/>
    </row>
    <row r="3" spans="1:7">
      <c r="A3" s="389"/>
      <c r="B3" s="2" t="s">
        <v>2</v>
      </c>
      <c r="C3" s="1"/>
      <c r="D3" s="147"/>
      <c r="E3" s="2"/>
      <c r="F3" s="1"/>
      <c r="G3" s="24"/>
    </row>
    <row r="4" spans="1:7" ht="15">
      <c r="A4" s="389"/>
      <c r="B4" s="183" t="s">
        <v>3</v>
      </c>
      <c r="C4" s="184"/>
      <c r="D4" s="185"/>
      <c r="E4" s="2"/>
      <c r="F4" s="184"/>
      <c r="G4" s="24"/>
    </row>
    <row r="5" spans="1:7">
      <c r="A5" s="389"/>
      <c r="B5" s="189" t="s">
        <v>4</v>
      </c>
      <c r="C5" s="186"/>
      <c r="D5" s="187"/>
      <c r="E5" s="2"/>
      <c r="F5" s="186"/>
      <c r="G5" s="24"/>
    </row>
    <row r="6" spans="1:7">
      <c r="A6" s="389"/>
      <c r="B6" s="2"/>
      <c r="C6" s="2"/>
      <c r="D6" s="146"/>
      <c r="E6" s="2"/>
      <c r="F6" s="2"/>
      <c r="G6" s="24"/>
    </row>
    <row r="7" spans="1:7">
      <c r="A7" s="389"/>
      <c r="B7" s="2"/>
      <c r="C7" s="2"/>
      <c r="D7" s="146"/>
      <c r="E7" s="2"/>
      <c r="F7" s="2"/>
      <c r="G7" s="24"/>
    </row>
    <row r="8" spans="1:7">
      <c r="A8" s="389"/>
      <c r="B8" s="2"/>
      <c r="C8" s="2"/>
      <c r="D8" s="146"/>
      <c r="E8" s="2"/>
      <c r="F8" s="2"/>
      <c r="G8" s="24"/>
    </row>
    <row r="9" spans="1:7" ht="20.25" customHeight="1">
      <c r="A9" s="389"/>
      <c r="B9" s="391" t="s">
        <v>5</v>
      </c>
      <c r="C9" s="391"/>
      <c r="D9" s="391"/>
      <c r="E9" s="391"/>
      <c r="F9" s="391"/>
      <c r="G9" s="24"/>
    </row>
    <row r="10" spans="1:7" ht="27" customHeight="1">
      <c r="A10" s="389"/>
      <c r="B10" s="392" t="s">
        <v>6</v>
      </c>
      <c r="C10" s="392"/>
      <c r="D10" s="392"/>
      <c r="E10" s="392"/>
      <c r="F10" s="392"/>
      <c r="G10" s="24"/>
    </row>
    <row r="11" spans="1:7" ht="82.5" customHeight="1">
      <c r="A11" s="389"/>
      <c r="B11" s="393"/>
      <c r="C11" s="393"/>
      <c r="D11" s="393"/>
      <c r="E11" s="393"/>
      <c r="F11" s="393"/>
      <c r="G11" s="24"/>
    </row>
    <row r="12" spans="1:7">
      <c r="A12" s="389"/>
      <c r="B12" s="173" t="s">
        <v>7</v>
      </c>
      <c r="C12" s="174" t="s">
        <v>8</v>
      </c>
      <c r="D12" s="175" t="s">
        <v>9</v>
      </c>
      <c r="E12" s="174" t="s">
        <v>10</v>
      </c>
      <c r="F12" s="174" t="s">
        <v>11</v>
      </c>
      <c r="G12" s="24"/>
    </row>
    <row r="13" spans="1:7" ht="57.5">
      <c r="A13" s="389"/>
      <c r="B13" s="287">
        <v>1</v>
      </c>
      <c r="C13" s="225" t="s">
        <v>12</v>
      </c>
      <c r="D13" s="226">
        <v>44489</v>
      </c>
      <c r="E13" s="225" t="s">
        <v>12182</v>
      </c>
      <c r="F13" s="227" t="s">
        <v>12191</v>
      </c>
      <c r="G13" s="24"/>
    </row>
    <row r="14" spans="1:7" ht="57.5">
      <c r="A14" s="389"/>
      <c r="B14" s="224">
        <v>1.01</v>
      </c>
      <c r="C14" s="225" t="s">
        <v>12</v>
      </c>
      <c r="D14" s="226">
        <v>44523</v>
      </c>
      <c r="E14" s="225" t="s">
        <v>12183</v>
      </c>
      <c r="F14" s="227" t="s">
        <v>12191</v>
      </c>
      <c r="G14" s="24"/>
    </row>
    <row r="15" spans="1:7" ht="57.5">
      <c r="A15" s="389"/>
      <c r="B15" s="224">
        <v>1.02</v>
      </c>
      <c r="C15" s="225" t="s">
        <v>12</v>
      </c>
      <c r="D15" s="226">
        <v>44553</v>
      </c>
      <c r="E15" s="225" t="s">
        <v>12184</v>
      </c>
      <c r="F15" s="227" t="s">
        <v>12191</v>
      </c>
      <c r="G15" s="24"/>
    </row>
    <row r="16" spans="1:7" ht="92">
      <c r="A16" s="389"/>
      <c r="B16" s="224">
        <v>1.1000000000000001</v>
      </c>
      <c r="C16" s="225" t="s">
        <v>12</v>
      </c>
      <c r="D16" s="226">
        <v>44848</v>
      </c>
      <c r="E16" s="225" t="s">
        <v>12185</v>
      </c>
      <c r="F16" s="227" t="s">
        <v>12192</v>
      </c>
      <c r="G16" s="24"/>
    </row>
    <row r="17" spans="1:7" ht="57.5">
      <c r="A17" s="389"/>
      <c r="B17" s="224">
        <v>1.1100000000000001</v>
      </c>
      <c r="C17" s="225" t="s">
        <v>12</v>
      </c>
      <c r="D17" s="226">
        <v>44869</v>
      </c>
      <c r="E17" s="225" t="s">
        <v>12186</v>
      </c>
      <c r="F17" s="227" t="s">
        <v>12192</v>
      </c>
      <c r="G17" s="24"/>
    </row>
    <row r="18" spans="1:7" ht="57.5">
      <c r="A18" s="389"/>
      <c r="B18" s="224">
        <v>1.2</v>
      </c>
      <c r="C18" s="225" t="s">
        <v>12</v>
      </c>
      <c r="D18" s="226">
        <v>45058</v>
      </c>
      <c r="E18" s="225" t="s">
        <v>12235</v>
      </c>
      <c r="F18" s="227" t="s">
        <v>12193</v>
      </c>
      <c r="G18" s="24"/>
    </row>
    <row r="19" spans="1:7" ht="57.5">
      <c r="A19" s="389"/>
      <c r="B19" s="224">
        <v>1.3</v>
      </c>
      <c r="C19" s="225" t="s">
        <v>12</v>
      </c>
      <c r="D19" s="226">
        <v>45408</v>
      </c>
      <c r="E19" s="288" t="s">
        <v>18595</v>
      </c>
      <c r="F19" s="227" t="s">
        <v>12236</v>
      </c>
      <c r="G19" s="24"/>
    </row>
    <row r="20" spans="1:7" ht="57.5">
      <c r="A20" s="389"/>
      <c r="B20" s="293" t="s">
        <v>18598</v>
      </c>
      <c r="C20" s="225" t="s">
        <v>12</v>
      </c>
      <c r="D20" s="226">
        <v>45772</v>
      </c>
      <c r="E20" s="288" t="s">
        <v>19154</v>
      </c>
      <c r="F20" s="227" t="s">
        <v>19278</v>
      </c>
      <c r="G20" s="24"/>
    </row>
    <row r="21" spans="1:7" ht="14" thickBot="1">
      <c r="A21" s="390"/>
      <c r="B21" s="394" t="str">
        <f ca="1">OFFSET(L!$C$1,MATCH("General"&amp;"Cpy",L!$A:$A,0)-1,SL,,)</f>
        <v>© 2025 Responsible Minerals Initiative. 無断転載・再配布禁止。</v>
      </c>
      <c r="C21" s="394"/>
      <c r="D21" s="394"/>
      <c r="E21" s="394"/>
      <c r="F21" s="394"/>
      <c r="G21" s="25"/>
    </row>
    <row r="22" spans="1:7" ht="14"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3.5"/>
  <cols>
    <col min="1" max="1" width="1.69140625" style="156" customWidth="1"/>
    <col min="2" max="2" width="35.4609375" style="156" customWidth="1"/>
    <col min="3" max="3" width="105.4609375" style="156" customWidth="1"/>
    <col min="4" max="5" width="1.69140625" style="156" customWidth="1"/>
    <col min="6" max="6" width="52" style="156" customWidth="1"/>
    <col min="7" max="7" width="5" style="156" customWidth="1"/>
    <col min="8" max="16384" width="9" style="156"/>
  </cols>
  <sheetData>
    <row r="1" spans="1:8" ht="90.75" customHeight="1" thickTop="1">
      <c r="A1" s="395"/>
      <c r="B1" s="396"/>
      <c r="C1" s="396"/>
      <c r="D1" s="397"/>
    </row>
    <row r="2" spans="1:8" ht="15">
      <c r="A2" s="176"/>
      <c r="B2" s="177" t="str">
        <f ca="1">OFFSET(L!$C$1,MATCH("Definitions"&amp;ADDRESS(ROW(),COLUMN(),4),L!$A:$A,0)-1,SL,,)</f>
        <v>項目</v>
      </c>
      <c r="C2" s="177" t="str">
        <f ca="1">OFFSET(L!$C$1,MATCH("Definitions"&amp;ADDRESS(ROW(),COLUMN(),4),L!$A:$A,0)-1,SL,,)</f>
        <v>定義</v>
      </c>
      <c r="D2" s="399"/>
      <c r="E2" s="178"/>
    </row>
    <row r="3" spans="1:8" ht="30">
      <c r="A3" s="176"/>
      <c r="B3" s="177" t="str">
        <f ca="1">OFFSET(L!$C$1,MATCH("Definitions"&amp;ADDRESS(ROW(),COLUMN(),4),L!$A:$A,0)-1,SL,,)</f>
        <v>回答責任者</v>
      </c>
      <c r="C3" s="177" t="str">
        <f ca="1">OFFSET(L!$C$1,MATCH("Definitions"&amp;ADDRESS(ROW(),COLUMN(),4),L!$A:$A,0)-1,SL,,)</f>
        <v>この欄は、申告内容の回答責任者を特定します。回答責任者は連絡先と異なる人でもかまいません。「同上」又は同様の表現は避けてください。</v>
      </c>
      <c r="D3" s="399"/>
      <c r="E3" s="179"/>
    </row>
    <row r="4" spans="1:8" ht="60">
      <c r="A4" s="176"/>
      <c r="B4" s="177" t="str">
        <f ca="1">OFFSET(L!$C$1,MATCH("Definitions"&amp;ADDRESS(ROW(),COLUMN(),4),L!$A:$A,0)-1,SL,,)</f>
        <v>コバルト精製業者</v>
      </c>
      <c r="C4" s="177" t="str">
        <f ca="1">OFFSET(L!$C$1,MATCH("Definitions"&amp;ADDRESS(ROW(),COLUMN(),4),L!$A:$A,0)-1,SL,,)</f>
        <v>コバルトの濃縮物、中間物、またはリサイクル材を加工し、川下製造プロセスで直接使用するためのコバルト製品を製造する企業。</v>
      </c>
      <c r="D4" s="399"/>
      <c r="E4" s="179" t="s">
        <v>13</v>
      </c>
    </row>
    <row r="5" spans="1:8" ht="90">
      <c r="A5" s="176"/>
      <c r="B5" s="177" t="str">
        <f ca="1">OFFSET(L!$C$1,MATCH("Definitions"&amp;ADDRESS(ROW(),COLUMN(),4),L!$A:$A,0)-1,SL,,)</f>
        <v>紛争地域および高リスク地域（CAHRA)</v>
      </c>
      <c r="C5" s="177" t="str">
        <f ca="1">OFFSET(L!$C$1,MATCH("Definitions"&amp;ADDRESS(ROW(),COLUMN(),4),L!$A:$A,0)-1,SL,,)</f>
        <v>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v>
      </c>
      <c r="D5" s="399"/>
      <c r="E5" s="179"/>
    </row>
    <row r="6" spans="1:8" ht="45">
      <c r="A6" s="176"/>
      <c r="B6" s="177" t="str">
        <f ca="1">OFFSET(L!$C$1,MATCH("Definitions"&amp;ADDRESS(ROW(),COLUMN(),4),L!$A:$A,0)-1,SL,,)</f>
        <v>銅加工業者*</v>
      </c>
      <c r="C6" s="177" t="str">
        <f ca="1">OFFSET(L!$C$1,MATCH("Definitions"&amp;ADDRESS(ROW(),COLUMN(),4),L!$A:$A,0)-1,SL,,)</f>
        <v>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v>
      </c>
      <c r="D6" s="399"/>
      <c r="E6" s="179"/>
    </row>
    <row r="7" spans="1:8" ht="135">
      <c r="A7" s="176"/>
      <c r="B7" s="177" t="str">
        <f ca="1">OFFSET(L!$C$1,MATCH("Definitions"&amp;ADDRESS(ROW(),COLUMN(),4),L!$A:$A,0)-1,SL,,)</f>
        <v>申告範囲またはクラス</v>
      </c>
      <c r="C7" s="177" t="str">
        <f ca="1">OFFSET(L!$C$1,MATCH("Definitions"&amp;ADDRESS(ROW(),COLUMN(),4),L!$A:$A,0)-1,SL,,)</f>
        <v>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v>
      </c>
      <c r="D7" s="399"/>
      <c r="E7" s="179" t="s">
        <v>14</v>
      </c>
    </row>
    <row r="8" spans="1:8" ht="91.5" customHeight="1">
      <c r="A8" s="176"/>
      <c r="B8" s="177" t="str">
        <f ca="1">OFFSET(L!$C$1,MATCH("Definitions"&amp;ADDRESS(ROW(),COLUMN(),4),L!$A:$A,0)-1,SL,,)</f>
        <v>デュー・ディリジェンス</v>
      </c>
      <c r="C8" s="177" t="str">
        <f ca="1">OFFSET(L!$C$1,MATCH("Definitions"&amp;ADDRESS(ROW(),COLUMN(),4),L!$A:$A,0)-1,SL,,)</f>
        <v>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v>
      </c>
      <c r="D8" s="399"/>
      <c r="E8" s="179"/>
    </row>
    <row r="9" spans="1:8" ht="45">
      <c r="A9" s="176"/>
      <c r="B9" s="177" t="str">
        <f ca="1">OFFSET(L!$C$1,MATCH("Definitions"&amp;ADDRESS(ROW(),COLUMN(),4),L!$A:$A,0)-1,SL,,)</f>
        <v>天然黒鉛*</v>
      </c>
      <c r="C9" s="177" t="str">
        <f ca="1">OFFSET(L!$C$1,MATCH("Definitions"&amp;ADDRESS(ROW(),COLUMN(),4),L!$A:$A,0)-1,SL,,)</f>
        <v>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v>
      </c>
      <c r="D9" s="399"/>
      <c r="E9" s="179" t="s">
        <v>15</v>
      </c>
    </row>
    <row r="10" spans="1:8" ht="75">
      <c r="A10" s="176"/>
      <c r="B10" s="177" t="str">
        <f ca="1">OFFSET(L!$C$1,MATCH("Definitions"&amp;ADDRESS(ROW(),COLUMN(),4),L!$A:$A,0)-1,SL,,)</f>
        <v>黒鉛加工業者*</v>
      </c>
      <c r="C10" s="177" t="str">
        <f ca="1">OFFSET(L!$C$1,MATCH("Definitions"&amp;ADDRESS(ROW(),COLUMN(),4),L!$A:$A,0)-1,SL,,)</f>
        <v>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v>
      </c>
      <c r="D10" s="399"/>
      <c r="E10" s="179" t="s">
        <v>16</v>
      </c>
    </row>
    <row r="11" spans="1:8" ht="45">
      <c r="A11" s="176"/>
      <c r="B11" s="177" t="str">
        <f ca="1">OFFSET(L!$C$1,MATCH("Definitions"&amp;ADDRESS(ROW(),COLUMN(),4),L!$A:$A,0)-1,SL,,)</f>
        <v>独立第三者監査法人</v>
      </c>
      <c r="C11" s="177" t="str">
        <f ca="1">OFFSET(L!$C$1,MATCH("Definitions"&amp;ADDRESS(ROW(),COLUMN(),4),L!$A:$A,0)-1,SL,,)</f>
        <v>製錬業者監査について、「独立第三者監査会社」とは、製錬業者又は精錬所のデュー・ディリジェンスシステムを基準に照らして評価する資格を持つ民間機関です。中立性および公平性を保つために、こうした組織と監査チームのメンバーは、被監査者と利害の衝突があってはならない。</v>
      </c>
      <c r="D11" s="399"/>
      <c r="E11" s="179" t="s">
        <v>15</v>
      </c>
      <c r="H11" s="156">
        <v>14</v>
      </c>
    </row>
    <row r="12" spans="1:8" ht="30">
      <c r="A12" s="176"/>
      <c r="B12" s="177" t="str">
        <f ca="1">OFFSET(L!$C$1,MATCH("Definitions"&amp;ADDRESS(ROW(),COLUMN(),4),L!$A:$A,0)-1,SL,,)</f>
        <v>意図的な添加</v>
      </c>
      <c r="C12" s="177" t="str">
        <f ca="1">OFFSET(L!$C$1,MATCH("Definitions"&amp;ADDRESS(ROW(),COLUMN(),4),L!$A:$A,0)-1,SL,,)</f>
        <v>意図的な添加：物質が製品ライフサイクルの１回（以上）の過程で、特別な性質、反応や品質を与えることを目的に使用されること。</v>
      </c>
      <c r="D12" s="399"/>
      <c r="E12" s="179"/>
    </row>
    <row r="13" spans="1:8" ht="60">
      <c r="A13" s="176"/>
      <c r="B13" s="177" t="str">
        <f ca="1">OFFSET(L!$C$1,MATCH("Definitions"&amp;ADDRESS(ROW(),COLUMN(),4),L!$A:$A,0)-1,SL,,)</f>
        <v>リチウム加工業者*</v>
      </c>
      <c r="C13" s="177" t="str">
        <f ca="1">OFFSET(L!$C$1,MATCH("Definitions"&amp;ADDRESS(ROW(),COLUMN(),4),L!$A:$A,0)-1,SL,,)</f>
        <v>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v>
      </c>
      <c r="D13" s="399"/>
      <c r="E13" s="179"/>
    </row>
    <row r="14" spans="1:8" ht="75">
      <c r="A14" s="176"/>
      <c r="B14" s="177" t="str">
        <f ca="1">OFFSET(L!$C$1,MATCH("Definitions"&amp;ADDRESS(ROW(),COLUMN(),4),L!$A:$A,0)-1,SL,,)</f>
        <v>経済協力開発機構（OECD）</v>
      </c>
      <c r="C14" s="177" t="str">
        <f ca="1">OFFSET(L!$C$1,MATCH("Definitions"&amp;ADDRESS(ROW(),COLUMN(),4),L!$A:$A,0)-1,SL,,)</f>
        <v>経済協力開発機構OECDは、責任あるサプライチェーンのためのOECDデュー・ディリジェンスガイダンスを策定した。OECDデュー・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v>
      </c>
      <c r="D14" s="399"/>
      <c r="E14" s="179"/>
    </row>
    <row r="15" spans="1:8" ht="15">
      <c r="A15" s="176"/>
      <c r="B15" s="177" t="str">
        <f ca="1">OFFSET(L!$C$1,MATCH("Definitions"&amp;ADDRESS(ROW(),COLUMN(),4),L!$A:$A,0)-1,SL,,)</f>
        <v>マイカ（天然）</v>
      </c>
      <c r="C15" s="177" t="str">
        <f ca="1">OFFSET(L!$C$1,MATCH("Definitions"&amp;ADDRESS(ROW(),COLUMN(),4),L!$A:$A,0)-1,SL,,)</f>
        <v>天然マイカは、白雲母及び金雲母のように、採掘されるか天然に発生する鉱物です。</v>
      </c>
      <c r="D15" s="399"/>
      <c r="E15" s="179"/>
    </row>
    <row r="16" spans="1:8" ht="45">
      <c r="A16" s="176"/>
      <c r="B16" s="177" t="str">
        <f ca="1">OFFSET(L!$C$1,MATCH("Definitions"&amp;ADDRESS(ROW(),COLUMN(),4),L!$A:$A,0)-1,SL,,)</f>
        <v>マイカ（合成）</v>
      </c>
      <c r="C16" s="177" t="str">
        <f ca="1">OFFSET(L!$C$1,MATCH("Definitions"&amp;ADDRESS(ROW(),COLUMN(),4),L!$A:$A,0)-1,SL,,)</f>
        <v>合成マイカ（フッ素金雲母）は、マグネシウム、アルミニウム及びシリコンのような材料で構成されている人工材料です。</v>
      </c>
      <c r="D16" s="399"/>
      <c r="E16" s="179" t="s">
        <v>15</v>
      </c>
    </row>
    <row r="17" spans="1:5" ht="60">
      <c r="A17" s="176"/>
      <c r="B17" s="177" t="str">
        <f ca="1">OFFSET(L!$C$1,MATCH("Definitions"&amp;ADDRESS(ROW(),COLUMN(),4),L!$A:$A,0)-1,SL,,)</f>
        <v>マイカ加工業者</v>
      </c>
      <c r="C17" s="177" t="str">
        <f ca="1">OFFSET(L!$C$1,MATCH("Definitions"&amp;ADDRESS(ROW(),COLUMN(),4),L!$A:$A,0)-1,SL,,)</f>
        <v>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v>
      </c>
      <c r="D17" s="399"/>
      <c r="E17" s="179"/>
    </row>
    <row r="18" spans="1:5" ht="60">
      <c r="A18" s="176"/>
      <c r="B18" s="177" t="str">
        <f ca="1">OFFSET(L!$C$1,MATCH("Definitions"&amp;ADDRESS(ROW(),COLUMN(),4),L!$A:$A,0)-1,SL,,)</f>
        <v>ニッケル加工業者*</v>
      </c>
      <c r="C18" s="177" t="str">
        <f ca="1">OFFSET(L!$C$1,MATCH("Definitions"&amp;ADDRESS(ROW(),COLUMN(),4),L!$A:$A,0)-1,SL,,)</f>
        <v>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v>
      </c>
      <c r="D18" s="399"/>
      <c r="E18" s="179"/>
    </row>
    <row r="19" spans="1:5" ht="60">
      <c r="A19" s="176"/>
      <c r="B19" s="177" t="str">
        <f ca="1">OFFSET(L!$C$1,MATCH("Definitions"&amp;ADDRESS(ROW(),COLUMN(),4),L!$A:$A,0)-1,SL,,)</f>
        <v>加工業者</v>
      </c>
      <c r="C19" s="177" t="str">
        <f ca="1">OFFSET(L!$C$1,MATCH("Definitions"&amp;ADDRESS(ROW(),COLUMN(),4),L!$A:$A,0)-1,SL,,)</f>
        <v>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v>
      </c>
      <c r="D19" s="399"/>
      <c r="E19" s="179"/>
    </row>
    <row r="20" spans="1:5" ht="30">
      <c r="A20" s="176"/>
      <c r="B20" s="177" t="str">
        <f ca="1">OFFSET(L!$C$1,MATCH("Definitions"&amp;ADDRESS(ROW(),COLUMN(),4),L!$A:$A,0)-1,SL,,)</f>
        <v>製品</v>
      </c>
      <c r="C20" s="177" t="str">
        <f ca="1">OFFSET(L!$C$1,MATCH("Definitions"&amp;ADDRESS(ROW(),COLUMN(),4),L!$A:$A,0)-1,SL,,)</f>
        <v>企業の製品又は完成品とは、製造や生産の最終段階を終了し、流通又は顧客への販売が可能になっている材料や品目です。</v>
      </c>
      <c r="D20" s="399"/>
      <c r="E20" s="179"/>
    </row>
    <row r="21" spans="1:5" ht="90">
      <c r="A21" s="176"/>
      <c r="B21" s="177" t="str">
        <f ca="1">OFFSET(L!$C$1,MATCH("Definitions"&amp;ADDRESS(ROW(),COLUMN(),4),L!$A:$A,0)-1,SL,,)</f>
        <v>再生利用品又はスクラップ起源
Recycled and Scrap Sources</v>
      </c>
      <c r="C21" s="177" t="str">
        <f ca="1">OFFSET(L!$C$1,MATCH("Definitions"&amp;ADDRESS(ROW(),COLUMN(),4),L!$A:$A,0)-1,SL,,)</f>
        <v>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
注：本文書の発行時点で、顕著な使用済みマイカの再生利用はありません。</v>
      </c>
      <c r="D21" s="399"/>
      <c r="E21" s="179" t="s">
        <v>15</v>
      </c>
    </row>
    <row r="22" spans="1:5" ht="75">
      <c r="A22" s="176"/>
      <c r="B22" s="177" t="str">
        <f ca="1">OFFSET(L!$C$1,MATCH("Definitions"&amp;ADDRESS(ROW(),COLUMN(),4),L!$A:$A,0)-1,SL,,)</f>
        <v>Responsible Business Alliance (RBA)</v>
      </c>
      <c r="C22" s="177" t="str">
        <f ca="1">OFFSET(L!$C$1,MATCH("Definitions"&amp;ADDRESS(ROW(),COLUMN(),4),L!$A:$A,0)-1,SL,,)</f>
        <v>2004年に設立されたResponsible Business Alliance（RBA）は、責任あるエレクトロニクスサプライチェーン専門の世界最大の産業連合です。
(http://www.responsiblebusiness.org)</v>
      </c>
      <c r="D22" s="399"/>
      <c r="E22" s="179" t="s">
        <v>16</v>
      </c>
    </row>
    <row r="23" spans="1:5" ht="45">
      <c r="A23" s="176"/>
      <c r="B23" s="177" t="str">
        <f ca="1">OFFSET(L!$C$1,MATCH("Definitions"&amp;ADDRESS(ROW(),COLUMN(),4),L!$A:$A,0)-1,SL,,)</f>
        <v>責任ある鉱物保証プロセス (RMAP)　Responsible Minerals Assurance Process(RMAP)</v>
      </c>
      <c r="C23" s="177" t="str">
        <f ca="1">OFFSET(L!$C$1,MATCH("Definitions"&amp;ADDRESS(ROW(),COLUMN(),4),L!$A:$A,0)-1,SL,,)</f>
        <v>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v>
      </c>
      <c r="D23" s="399"/>
      <c r="E23" s="179"/>
    </row>
    <row r="24" spans="1:5" ht="90">
      <c r="A24" s="176"/>
      <c r="B24" s="177" t="str">
        <f ca="1">OFFSET(L!$C$1,MATCH("Definitions"&amp;ADDRESS(ROW(),COLUMN(),4),L!$A:$A,0)-1,SL,,)</f>
        <v>責任ある鉱物イニシアチブ(RMI) Responsible Minerals Initiative (RMI)</v>
      </c>
      <c r="C24" s="177" t="str">
        <f ca="1">OFFSET(L!$C$1,MATCH("Definitions"&amp;ADDRESS(ROW(),COLUMN(),4),L!$A:$A,0)-1,SL,,)</f>
        <v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v>
      </c>
      <c r="D24" s="399"/>
      <c r="E24" s="179" t="s">
        <v>15</v>
      </c>
    </row>
    <row r="25" spans="1:5" ht="120">
      <c r="A25" s="176"/>
      <c r="B25" s="177" t="str">
        <f ca="1">OFFSET(L!$C$1,MATCH("Definitions"&amp;ADDRESS(ROW(),COLUMN(),4),L!$A:$A,0)-1,SL,,)</f>
        <v>RMAP適合製錬業者リスト</v>
      </c>
      <c r="C25" s="177" t="str">
        <f ca="1">OFFSET(L!$C$1,MATCH("Definitions"&amp;ADDRESS(ROW(),COLUMN(),4),L!$A:$A,0)-1,SL,,)</f>
        <v>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v>
      </c>
      <c r="D25" s="399"/>
      <c r="E25" s="179" t="s">
        <v>13</v>
      </c>
    </row>
    <row r="26" spans="1:5" ht="60">
      <c r="A26" s="176"/>
      <c r="B26" s="177" t="str">
        <f ca="1">OFFSET(L!$C$1,MATCH("Definitions"&amp;ADDRESS(ROW(),COLUMN(),4),L!$A:$A,0)-1,SL,,)</f>
        <v>製錬業者</v>
      </c>
      <c r="C26" s="177" t="str">
        <f ca="1">OFFSET(L!$C$1,MATCH("Definitions"&amp;ADDRESS(ROW(),COLUMN(),4),L!$A:$A,0)-1,SL,,)</f>
        <v>製錬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v>
      </c>
      <c r="D26" s="399"/>
      <c r="E26" s="179"/>
    </row>
    <row r="27" spans="1:5" ht="45">
      <c r="A27" s="176"/>
      <c r="B27" s="177" t="str">
        <f ca="1">OFFSET(L!$C$1,MATCH("Definitions"&amp;ADDRESS(ROW(),COLUMN(),4),L!$A:$A,0)-1,SL,,)</f>
        <v>製錬業者識別番号</v>
      </c>
      <c r="C27" s="177" t="str">
        <f ca="1">OFFSET(L!$C$1,MATCH("Definitions"&amp;ADDRESS(ROW(),COLUMN(),4),L!$A:$A,0)-1,SL,,)</f>
        <v>RMIは、サプライチェーンを構成する企業が製錬・精製業者として報告した企業に対し、固有の識別番号を割り当てます。これは、これらの企業がRMAP監査手順の定義する製錬・精製業者の特性を満たしていると検証されているかどうかとは無関係です。</v>
      </c>
      <c r="D27" s="399"/>
      <c r="E27" s="179"/>
    </row>
    <row r="28" spans="1:5" ht="15">
      <c r="A28" s="176"/>
      <c r="B28" s="401" t="str">
        <f ca="1">OFFSET(L!$C$1,MATCH("Definitions"&amp;ADDRESS(ROW(),COLUMN(),4),L!$A:$A,0)-1,SL,,)</f>
        <v>* この鉱物の一次および二次原材料に関する追加情報については、EMRT記入ガイドを参照してください。</v>
      </c>
      <c r="C28" s="401"/>
      <c r="D28" s="399"/>
      <c r="E28" s="179"/>
    </row>
    <row r="29" spans="1:5" ht="15">
      <c r="A29" s="176"/>
      <c r="B29" s="398" t="str">
        <f ca="1">OFFSET(L!$C$1,MATCH("General"&amp;"Cpy",L!$A:$A,0)-1,SL,,)</f>
        <v>© 2025 Responsible Minerals Initiative. 無断転載・再配布禁止。</v>
      </c>
      <c r="C29" s="398"/>
      <c r="D29" s="399"/>
      <c r="E29" s="179"/>
    </row>
    <row r="30" spans="1:5" ht="14" thickBot="1">
      <c r="A30" s="180"/>
      <c r="B30" s="181"/>
      <c r="C30" s="181"/>
      <c r="D30" s="400"/>
    </row>
    <row r="31" spans="1:5" ht="14"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topLeftCell="A103" zoomScale="55" zoomScaleNormal="55" workbookViewId="0">
      <selection activeCell="G117" sqref="G117:J117"/>
    </sheetView>
  </sheetViews>
  <sheetFormatPr defaultColWidth="9" defaultRowHeight="13.5"/>
  <cols>
    <col min="1" max="1" width="2" customWidth="1"/>
    <col min="2" max="2" width="84.15234375" customWidth="1"/>
    <col min="3" max="3" width="1.69140625" customWidth="1"/>
    <col min="4" max="5" width="16.69140625" customWidth="1"/>
    <col min="6" max="6" width="1.69140625" customWidth="1"/>
    <col min="7" max="9" width="16.69140625" customWidth="1"/>
    <col min="10" max="10" width="18" customWidth="1"/>
    <col min="11" max="11" width="3" customWidth="1"/>
    <col min="12" max="13" width="8.84375" hidden="1" customWidth="1"/>
    <col min="14" max="14" width="24" hidden="1" customWidth="1"/>
    <col min="15" max="15" width="28.69140625" hidden="1" customWidth="1"/>
    <col min="16" max="16" width="31" hidden="1" customWidth="1"/>
    <col min="17" max="17" width="33.3046875" hidden="1" customWidth="1"/>
    <col min="18" max="18" width="32" hidden="1" customWidth="1"/>
    <col min="19" max="19" width="21.3046875" hidden="1" customWidth="1"/>
    <col min="20" max="20" width="24.15234375" hidden="1" customWidth="1"/>
    <col min="21" max="21" width="15.4609375" hidden="1" customWidth="1"/>
    <col min="22" max="22" width="18" hidden="1" customWidth="1"/>
    <col min="23" max="23" width="15" hidden="1" customWidth="1"/>
    <col min="24" max="24" width="18" hidden="1" customWidth="1"/>
    <col min="25" max="25" width="10.4609375" hidden="1" customWidth="1"/>
    <col min="26" max="29" width="9" hidden="1" customWidth="1"/>
    <col min="30" max="32" width="9" customWidth="1"/>
  </cols>
  <sheetData>
    <row r="1" spans="1:34" ht="15.5" thickTop="1">
      <c r="A1" s="405"/>
      <c r="B1" s="406"/>
      <c r="C1" s="406"/>
      <c r="D1" s="406"/>
      <c r="E1" s="406"/>
      <c r="F1" s="406"/>
      <c r="G1" s="406"/>
      <c r="H1" s="406"/>
      <c r="I1" s="406"/>
      <c r="J1" s="406"/>
      <c r="K1" s="407"/>
      <c r="L1" s="102"/>
      <c r="P1" s="2"/>
      <c r="Q1" s="2"/>
      <c r="R1" s="2"/>
      <c r="S1" s="2"/>
      <c r="T1" s="2"/>
      <c r="U1" s="2"/>
      <c r="V1" s="2"/>
      <c r="W1" s="2"/>
      <c r="X1" s="2"/>
      <c r="Y1" s="2"/>
      <c r="Z1" s="2"/>
      <c r="AA1" s="2"/>
      <c r="AB1" s="2"/>
      <c r="AC1" s="2"/>
      <c r="AD1" s="2"/>
      <c r="AE1" s="2"/>
      <c r="AF1" s="2"/>
      <c r="AG1" s="2"/>
      <c r="AH1" s="2"/>
    </row>
    <row r="2" spans="1:34" ht="81.75" customHeight="1">
      <c r="A2" s="27"/>
      <c r="B2" s="283"/>
      <c r="C2" s="28"/>
      <c r="D2" s="408" t="str">
        <f ca="1">OFFSET(L!$C$1,MATCH("Declaration"&amp;ADDRESS(ROW(),COLUMN(),4),L!$A:$A,0)-1,SL,,)</f>
        <v>拡張鉱物報告テンプレート（EMRT）</v>
      </c>
      <c r="E2" s="409"/>
      <c r="F2" s="409"/>
      <c r="G2" s="409"/>
      <c r="H2" s="409"/>
      <c r="I2" s="409"/>
      <c r="J2" s="410"/>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364</v>
      </c>
      <c r="E3" s="444"/>
      <c r="F3" s="445"/>
      <c r="G3" s="445"/>
      <c r="H3" s="445"/>
      <c r="I3" s="445"/>
      <c r="J3" s="190" t="s">
        <v>19342</v>
      </c>
      <c r="K3" s="29"/>
      <c r="L3" s="102"/>
      <c r="P3" s="38">
        <f>MATCH($D$3,LN,0)</f>
        <v>3</v>
      </c>
    </row>
    <row r="4" spans="1:34" ht="15">
      <c r="A4" s="27"/>
      <c r="B4" s="417" t="str">
        <f ca="1">OFFSET(L!$C$1,MATCH("Declaration"&amp;ADDRESS(ROW(),COLUMN(),4),L!$A:$A,0)-1,SL,,)</f>
        <v>この文書の目的は、以下の選択した鉱物の調達先情報を収集することです</v>
      </c>
      <c r="C4" s="417"/>
      <c r="D4" s="417"/>
      <c r="E4" s="417"/>
      <c r="F4" s="417"/>
      <c r="G4" s="417"/>
      <c r="H4" s="417"/>
      <c r="I4" s="421" t="str">
        <f ca="1">OFFSET(L!$C$1,MATCH("Declaration"&amp;ADDRESS(ROW(),COLUMN(),4),L!$A:$A,0)-1,SL,,)</f>
        <v>利用規約へのリンク</v>
      </c>
      <c r="J4" s="421"/>
      <c r="K4" s="29"/>
      <c r="L4" s="104"/>
      <c r="P4" s="2"/>
      <c r="Q4" s="2"/>
      <c r="R4" s="2"/>
      <c r="S4" s="2"/>
      <c r="T4" s="2"/>
      <c r="U4" s="2"/>
      <c r="V4" s="2"/>
      <c r="W4" s="2"/>
      <c r="X4" s="2"/>
      <c r="Y4" s="2"/>
      <c r="Z4" s="2"/>
      <c r="AA4" s="2"/>
      <c r="AB4" s="2"/>
      <c r="AC4" s="2"/>
      <c r="AD4" s="2"/>
      <c r="AE4" s="2"/>
      <c r="AF4" s="2"/>
      <c r="AG4" s="2"/>
      <c r="AH4" s="2"/>
    </row>
    <row r="5" spans="1:34" ht="15">
      <c r="A5" s="125" t="str">
        <f>LEFT(D9,1)</f>
        <v>B</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7" t="str">
        <f ca="1">OFFSET(L!$C$1,MATCH("Declaration"&amp;ADDRESS(ROW(),COLUMN(),4),L!$A:$A,0)-1,SL,,)</f>
        <v>必須項目は（*）で表示。各質問の回答方法については、「説明（Instructions）」タブを参照してください。</v>
      </c>
      <c r="C6" s="417"/>
      <c r="D6" s="417"/>
      <c r="E6" s="417"/>
      <c r="F6" s="417"/>
      <c r="G6" s="417"/>
      <c r="H6" s="417"/>
      <c r="I6" s="417"/>
      <c r="J6" s="417"/>
      <c r="K6" s="29"/>
      <c r="L6" s="104" t="s">
        <v>18</v>
      </c>
      <c r="P6" s="2"/>
      <c r="Q6" s="2"/>
      <c r="R6" s="2"/>
      <c r="S6" s="2"/>
      <c r="T6" s="2"/>
      <c r="U6" s="2"/>
      <c r="V6" s="2"/>
      <c r="W6" s="2"/>
      <c r="X6" s="2"/>
      <c r="Y6" s="2"/>
      <c r="Z6" s="2"/>
      <c r="AA6" s="2"/>
      <c r="AB6" s="2"/>
      <c r="AC6" s="2"/>
      <c r="AD6" s="2"/>
      <c r="AE6" s="2"/>
      <c r="AF6" s="2"/>
      <c r="AG6" s="2"/>
      <c r="AH6" s="2"/>
    </row>
    <row r="7" spans="1:34" ht="15">
      <c r="A7" s="27"/>
      <c r="B7" s="422" t="str">
        <f ca="1">OFFSET(L!$C$1,MATCH("Declaration"&amp;ADDRESS(ROW(),COLUMN(),4),L!$A:$A,0)-1,SL,,)</f>
        <v>会社情報</v>
      </c>
      <c r="C7" s="422"/>
      <c r="D7" s="422"/>
      <c r="E7" s="422"/>
      <c r="F7" s="422"/>
      <c r="G7" s="422"/>
      <c r="H7" s="422"/>
      <c r="I7" s="422"/>
      <c r="J7" s="422"/>
      <c r="K7" s="29"/>
      <c r="L7" s="104"/>
      <c r="P7" s="2"/>
      <c r="Q7" s="2"/>
      <c r="R7" s="2"/>
      <c r="S7" s="2"/>
      <c r="T7" s="2"/>
      <c r="U7" s="2"/>
      <c r="V7" s="2"/>
      <c r="W7" s="2"/>
      <c r="X7" s="2"/>
      <c r="Y7" s="2"/>
      <c r="Z7" s="2"/>
      <c r="AA7" s="2"/>
      <c r="AB7" s="2"/>
      <c r="AC7" s="2"/>
      <c r="AD7" s="2"/>
      <c r="AE7" s="2"/>
      <c r="AF7" s="2"/>
      <c r="AG7" s="2"/>
      <c r="AH7" s="2"/>
    </row>
    <row r="8" spans="1:34" ht="15">
      <c r="A8" s="31"/>
      <c r="B8" s="65" t="str">
        <f ca="1">OFFSET(L!$C$1,MATCH("Declaration"&amp;ADDRESS(ROW(),COLUMN(),4),L!$A:$A,0)-1,SL,,)</f>
        <v>会社名(*):</v>
      </c>
      <c r="C8" s="66"/>
      <c r="D8" s="411" t="s">
        <v>20051</v>
      </c>
      <c r="E8" s="412"/>
      <c r="F8" s="412"/>
      <c r="G8" s="412"/>
      <c r="H8" s="412"/>
      <c r="I8" s="412"/>
      <c r="J8" s="413"/>
      <c r="K8" s="32"/>
      <c r="L8" s="104"/>
      <c r="P8" s="2"/>
      <c r="Q8" s="2"/>
      <c r="R8" s="2"/>
      <c r="S8" s="2"/>
      <c r="T8" s="2"/>
      <c r="U8" s="2"/>
      <c r="V8" s="2"/>
      <c r="W8" s="2"/>
      <c r="X8" s="2"/>
      <c r="Y8" s="2"/>
      <c r="Z8" s="2"/>
      <c r="AA8" s="2"/>
      <c r="AB8" s="2"/>
      <c r="AC8" s="2"/>
      <c r="AD8" s="2"/>
      <c r="AE8" s="2"/>
      <c r="AF8" s="2"/>
      <c r="AG8" s="2"/>
      <c r="AH8" s="2"/>
    </row>
    <row r="9" spans="1:34" ht="15">
      <c r="A9" s="31"/>
      <c r="B9" s="65" t="str">
        <f ca="1">OFFSET(L!$C$1,MATCH("Declaration"&amp;ADDRESS(ROW(),COLUMN(),4),L!$A:$A,0)-1,SL,,)</f>
        <v>申告範囲又はクラス(*):</v>
      </c>
      <c r="C9" s="66"/>
      <c r="D9" s="447" t="s">
        <v>20</v>
      </c>
      <c r="E9" s="448"/>
      <c r="F9" s="448"/>
      <c r="G9" s="44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3" t="str">
        <f ca="1">OFFSET(L!$C$1,MATCH("Declaration"&amp;ADDRESS(ROW(),COLUMN(),4)&amp;LEFT($D$9,1),L!$A:$A,0)-1,SL,,)</f>
        <v>この申告に適用される製品は製品一覧表(Product List)のシートに移動して入力</v>
      </c>
      <c r="C10" s="112"/>
      <c r="D10" s="418"/>
      <c r="E10" s="419"/>
      <c r="F10" s="419"/>
      <c r="G10" s="419"/>
      <c r="H10" s="419"/>
      <c r="I10" s="419"/>
      <c r="J10" s="420"/>
      <c r="K10" s="29"/>
      <c r="L10" s="104"/>
      <c r="Q10" s="2"/>
      <c r="R10" s="2"/>
      <c r="S10" s="2"/>
      <c r="T10" s="2"/>
      <c r="U10" s="2"/>
      <c r="V10" s="2"/>
      <c r="W10" s="2"/>
      <c r="X10" s="2"/>
      <c r="Y10" s="2"/>
      <c r="Z10" s="2"/>
      <c r="AA10" s="2"/>
      <c r="AB10" s="2"/>
      <c r="AC10" s="2"/>
      <c r="AD10" s="2"/>
      <c r="AE10" s="2"/>
      <c r="AF10" s="2"/>
      <c r="AG10" s="2"/>
      <c r="AH10" s="2"/>
    </row>
    <row r="11" spans="1:34" ht="15">
      <c r="A11" s="31"/>
      <c r="B11" s="424"/>
      <c r="C11" s="112"/>
      <c r="D11" s="425" t="str">
        <f ca="1">IF(D9=Q9,OFFSET(L!$C$1,MATCH("Declaration"&amp;ADDRESS(ROW(),COLUMN(),4),L!$A:$A,0)-1,SL,,),"")</f>
        <v>クリックして、この申告が適用される製品を入力してください</v>
      </c>
      <c r="E11" s="426"/>
      <c r="F11" s="426"/>
      <c r="G11" s="426"/>
      <c r="H11" s="426"/>
      <c r="I11" s="426"/>
      <c r="J11" s="427"/>
      <c r="K11" s="29"/>
      <c r="L11" s="104"/>
      <c r="Q11" s="2"/>
      <c r="R11" s="2"/>
      <c r="S11" s="2"/>
      <c r="T11" s="2"/>
      <c r="U11" s="2"/>
      <c r="V11" s="2"/>
      <c r="W11" s="2"/>
      <c r="X11" s="2"/>
      <c r="Y11" s="2"/>
      <c r="Z11" s="2"/>
      <c r="AA11" s="368" t="s">
        <v>19145</v>
      </c>
      <c r="AB11" s="2"/>
      <c r="AC11" s="2"/>
      <c r="AD11" s="2"/>
      <c r="AE11" s="2"/>
      <c r="AF11" s="2"/>
      <c r="AG11" s="2"/>
      <c r="AH11" s="2"/>
    </row>
    <row r="12" spans="1:34" ht="15">
      <c r="A12" s="31"/>
      <c r="B12" s="428" t="str">
        <f ca="1">OFFSET(L!$C$1,MATCH("Declaration"&amp;ADDRESS(ROW(),COLUMN(),4),L!$A:$A,0)-1,SL,,)</f>
        <v>対象となる鉱物／金属を選択 (*):</v>
      </c>
      <c r="C12" s="112"/>
      <c r="D12" s="372" t="s">
        <v>40</v>
      </c>
      <c r="E12" s="430" t="s">
        <v>18641</v>
      </c>
      <c r="F12" s="431"/>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
      <c r="A13" s="31"/>
      <c r="B13" s="429" t="e">
        <f ca="1">OFFSET(L!$C$1,MATCH("Declaration"&amp;ADDRESS(ROW(),COLUMN(),4),L!$A:$A,0)-1,SL,,)</f>
        <v>#N/A</v>
      </c>
      <c r="C13" s="112"/>
      <c r="D13" s="372" t="s">
        <v>18644</v>
      </c>
      <c r="E13" s="430" t="s">
        <v>41</v>
      </c>
      <c r="F13" s="431"/>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 hidden="1">
      <c r="A14" s="31"/>
      <c r="B14" s="432"/>
      <c r="C14" s="112"/>
      <c r="D14" s="298"/>
      <c r="E14" s="434"/>
      <c r="F14" s="435"/>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 hidden="1">
      <c r="A15" s="31"/>
      <c r="B15" s="433"/>
      <c r="C15" s="112"/>
      <c r="D15" s="298"/>
      <c r="E15" s="434"/>
      <c r="F15" s="435"/>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
      <c r="A16" s="31"/>
      <c r="B16" s="33" t="str">
        <f ca="1">OFFSET(L!$C$1,MATCH("Declaration"&amp;ADDRESS(ROW(),COLUMN(),4),L!$A:$A,0)-1,SL,,)</f>
        <v>会社固有の識別番号:</v>
      </c>
      <c r="C16" s="67"/>
      <c r="D16" s="414"/>
      <c r="E16" s="415"/>
      <c r="F16" s="415"/>
      <c r="G16" s="415"/>
      <c r="H16" s="415"/>
      <c r="I16" s="415"/>
      <c r="J16" s="416"/>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
      <c r="A17" s="31"/>
      <c r="B17" s="33" t="str">
        <f ca="1">OFFSET(L!$C$1,MATCH("Declaration"&amp;ADDRESS(ROW(),COLUMN(),4),L!$A:$A,0)-1,SL,,)</f>
        <v>会社固有の識別番号の発行元</v>
      </c>
      <c r="C17" s="67"/>
      <c r="D17" s="414"/>
      <c r="E17" s="415"/>
      <c r="F17" s="415"/>
      <c r="G17" s="415"/>
      <c r="H17" s="415"/>
      <c r="I17" s="415"/>
      <c r="J17" s="416"/>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
      <c r="A18" s="31"/>
      <c r="B18" s="33" t="str">
        <f ca="1">OFFSET(L!$C$1,MATCH("Declaration"&amp;ADDRESS(ROW(),COLUMN(),4),L!$A:$A,0)-1,SL,,)</f>
        <v>住所:</v>
      </c>
      <c r="C18" s="67"/>
      <c r="D18" s="414" t="s">
        <v>20052</v>
      </c>
      <c r="E18" s="415"/>
      <c r="F18" s="415"/>
      <c r="G18" s="415"/>
      <c r="H18" s="415"/>
      <c r="I18" s="415"/>
      <c r="J18" s="416"/>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5" customHeight="1">
      <c r="A19" s="31"/>
      <c r="B19" s="33" t="str">
        <f ca="1">OFFSET(L!$C$1,MATCH("Declaration"&amp;ADDRESS(ROW(),COLUMN(),4),L!$A:$A,0)-1,SL,,)</f>
        <v>連絡先担当者名(*):</v>
      </c>
      <c r="C19" s="67"/>
      <c r="D19" s="414" t="s">
        <v>20053</v>
      </c>
      <c r="E19" s="415"/>
      <c r="F19" s="415"/>
      <c r="G19" s="415"/>
      <c r="H19" s="415"/>
      <c r="I19" s="415"/>
      <c r="J19" s="416"/>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
      <c r="A20" s="31"/>
      <c r="B20" s="33" t="str">
        <f ca="1">OFFSET(L!$C$1,MATCH("Declaration"&amp;ADDRESS(ROW(),COLUMN(),4),L!$A:$A,0)-1,SL,,)</f>
        <v>連絡先担当者の電子メール(*):</v>
      </c>
      <c r="C20" s="67"/>
      <c r="D20" s="436" t="s">
        <v>20054</v>
      </c>
      <c r="E20" s="437"/>
      <c r="F20" s="437"/>
      <c r="G20" s="437"/>
      <c r="H20" s="437"/>
      <c r="I20" s="437"/>
      <c r="J20" s="438"/>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
      <c r="A21" s="31"/>
      <c r="B21" s="33" t="str">
        <f ca="1">OFFSET(L!$C$1,MATCH("Declaration"&amp;ADDRESS(ROW(),COLUMN(),4),L!$A:$A,0)-1,SL,,)</f>
        <v>連絡先担当者の電話番号(*):</v>
      </c>
      <c r="C21" s="67"/>
      <c r="D21" s="414" t="s">
        <v>20055</v>
      </c>
      <c r="E21" s="415"/>
      <c r="F21" s="415"/>
      <c r="G21" s="415"/>
      <c r="H21" s="415"/>
      <c r="I21" s="415"/>
      <c r="J21" s="41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3">
      <c r="A22" s="31"/>
      <c r="B22" s="33" t="str">
        <f ca="1">OFFSET(L!$C$1,MATCH("Declaration"&amp;ADDRESS(ROW(),COLUMN(),4),L!$A:$A,0)-1,SL,,)</f>
        <v>回答責任者名(*):</v>
      </c>
      <c r="C22" s="67"/>
      <c r="D22" s="414" t="s">
        <v>20053</v>
      </c>
      <c r="E22" s="415"/>
      <c r="F22" s="415"/>
      <c r="G22" s="415"/>
      <c r="H22" s="415"/>
      <c r="I22" s="415"/>
      <c r="J22" s="416"/>
      <c r="K22" s="29"/>
      <c r="L22" s="98"/>
      <c r="Q22" s="2"/>
      <c r="R22" s="2"/>
      <c r="S22" s="2"/>
      <c r="T22" s="2"/>
      <c r="U22" s="2"/>
      <c r="V22" s="2"/>
      <c r="W22" s="2"/>
      <c r="X22" s="2"/>
      <c r="Y22" s="2"/>
      <c r="Z22" s="2"/>
      <c r="AA22" s="2">
        <f>10-COUNTIF(AA12:AA21,"")</f>
        <v>6</v>
      </c>
      <c r="AB22" s="2"/>
      <c r="AC22" s="2"/>
      <c r="AD22" s="2"/>
      <c r="AE22" s="2"/>
      <c r="AF22" s="2"/>
      <c r="AG22" s="2"/>
    </row>
    <row r="23" spans="1:33" ht="23">
      <c r="A23" s="31"/>
      <c r="B23" s="33" t="str">
        <f ca="1">OFFSET(L!$C$1,MATCH("Declaration"&amp;ADDRESS(ROW(),COLUMN(),4),L!$A:$A,0)-1,SL,,)</f>
        <v>回答責任者の役職:</v>
      </c>
      <c r="C23" s="67"/>
      <c r="D23" s="414" t="s">
        <v>20056</v>
      </c>
      <c r="E23" s="415"/>
      <c r="F23" s="415"/>
      <c r="G23" s="415"/>
      <c r="H23" s="415"/>
      <c r="I23" s="415"/>
      <c r="J23" s="416"/>
      <c r="K23" s="29"/>
      <c r="L23" s="98"/>
      <c r="P23" s="2"/>
      <c r="Q23" s="2"/>
      <c r="R23" s="2"/>
      <c r="S23" s="2"/>
      <c r="T23" s="2"/>
      <c r="U23" s="2"/>
      <c r="V23" s="2"/>
      <c r="W23" s="2"/>
      <c r="X23" s="2"/>
      <c r="Y23" s="2"/>
      <c r="Z23" s="2"/>
      <c r="AA23" s="2">
        <f>IF(AA22=0,0.1,AA22)</f>
        <v>6</v>
      </c>
      <c r="AB23" s="2"/>
      <c r="AC23" s="2"/>
      <c r="AD23" s="2"/>
      <c r="AE23" s="2"/>
      <c r="AF23" s="2"/>
      <c r="AG23" s="2"/>
    </row>
    <row r="24" spans="1:33" ht="23">
      <c r="A24" s="31"/>
      <c r="B24" s="33" t="str">
        <f ca="1">OFFSET(L!$C$1,MATCH("Declaration"&amp;ADDRESS(ROW(),COLUMN(),4),L!$A:$A,0)-1,SL,,)</f>
        <v>回答責任者の電子メール(*):</v>
      </c>
      <c r="C24" s="67"/>
      <c r="D24" s="436" t="s">
        <v>20054</v>
      </c>
      <c r="E24" s="437"/>
      <c r="F24" s="437"/>
      <c r="G24" s="437"/>
      <c r="H24" s="437"/>
      <c r="I24" s="437"/>
      <c r="J24" s="438"/>
      <c r="K24" s="29"/>
      <c r="L24" s="98"/>
      <c r="P24" s="2"/>
      <c r="Q24" s="2"/>
      <c r="R24" s="2"/>
      <c r="S24" s="2"/>
      <c r="T24" s="2"/>
      <c r="U24" s="2"/>
      <c r="V24" s="2"/>
      <c r="W24" s="2"/>
      <c r="X24" s="2"/>
      <c r="Y24" s="2"/>
      <c r="Z24" s="2"/>
      <c r="AA24" s="2"/>
      <c r="AB24" s="2"/>
      <c r="AC24" s="2"/>
      <c r="AD24" s="2"/>
      <c r="AE24" s="2"/>
      <c r="AF24" s="2"/>
      <c r="AG24" s="2"/>
    </row>
    <row r="25" spans="1:33" ht="15">
      <c r="A25" s="31"/>
      <c r="B25" s="33" t="str">
        <f ca="1">OFFSET(L!$C$1,MATCH("Declaration"&amp;ADDRESS(ROW(),COLUMN(),4),L!$A:$A,0)-1,SL,,)</f>
        <v>回答責任者の電話番号:</v>
      </c>
      <c r="C25" s="124"/>
      <c r="D25" s="414" t="s">
        <v>20055</v>
      </c>
      <c r="E25" s="415"/>
      <c r="F25" s="415"/>
      <c r="G25" s="415"/>
      <c r="H25" s="415"/>
      <c r="I25" s="415"/>
      <c r="J25" s="416"/>
      <c r="K25" s="29"/>
      <c r="L25" s="104"/>
      <c r="P25" s="2"/>
      <c r="Q25" s="2"/>
      <c r="R25" s="2"/>
      <c r="S25" s="2"/>
      <c r="T25" s="2"/>
      <c r="U25" s="2"/>
      <c r="V25" s="2"/>
      <c r="W25" s="2"/>
      <c r="X25" s="2"/>
      <c r="Y25" s="2"/>
      <c r="Z25" s="2"/>
      <c r="AA25" s="2"/>
      <c r="AB25" s="2"/>
      <c r="AC25" s="2"/>
      <c r="AD25" s="2"/>
      <c r="AE25" s="2"/>
      <c r="AF25" s="2"/>
      <c r="AG25" s="2"/>
    </row>
    <row r="26" spans="1:33" ht="17.5">
      <c r="A26" s="31"/>
      <c r="B26" s="33" t="str">
        <f ca="1">OFFSET(L!$C$1,MATCH("Declaration"&amp;ADDRESS(ROW(),COLUMN(),4),L!$A:$A,0)-1,SL,,)</f>
        <v xml:space="preserve"> 記入日(*):</v>
      </c>
      <c r="C26" s="68"/>
      <c r="D26" s="442">
        <v>45825</v>
      </c>
      <c r="E26" s="443"/>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5">
      <c r="A27" s="34"/>
      <c r="B27" s="69"/>
      <c r="C27" s="13"/>
      <c r="D27" s="451"/>
      <c r="E27" s="451"/>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
      <c r="A28" s="35"/>
      <c r="B28" s="452" t="str">
        <f ca="1">OFFSET(L!$C$1,MATCH("Declaration"&amp;ADDRESS(ROW(),COLUMN(),4),L!$A:$A,0)-1,SL,,)</f>
        <v>上記の申告範囲にもとづいて、以下の1～7の質問にお答えください</v>
      </c>
      <c r="C28" s="452"/>
      <c r="D28" s="452"/>
      <c r="E28" s="452"/>
      <c r="F28" s="452"/>
      <c r="G28" s="452"/>
      <c r="H28" s="452"/>
      <c r="I28" s="452"/>
      <c r="J28" s="452"/>
      <c r="K28" s="36"/>
      <c r="L28" s="99"/>
      <c r="P28" s="2"/>
      <c r="Q28" s="2"/>
      <c r="R28" s="2"/>
      <c r="S28" s="2"/>
      <c r="T28" s="2"/>
      <c r="U28" s="2"/>
      <c r="V28" s="2"/>
      <c r="W28" s="2"/>
      <c r="X28" s="2"/>
      <c r="Y28" s="2"/>
      <c r="Z28" s="2"/>
      <c r="AA28" s="2"/>
      <c r="AB28" s="2"/>
      <c r="AC28" s="2"/>
      <c r="AD28" s="2"/>
      <c r="AE28" s="2"/>
      <c r="AF28" s="2"/>
      <c r="AG28" s="2"/>
    </row>
    <row r="29" spans="1:33" ht="45">
      <c r="A29" s="34"/>
      <c r="B29" s="37" t="str">
        <f ca="1">OFFSET(L!$C$1,MATCH("Declaration"&amp;ADDRESS(ROW(),COLUMN(),4),L!$A:$A,0)-1,SL,,)</f>
        <v>1）製品自体や製造過程で、対象となる鉱物が意図的に添加又は使用されていますか？ （*）</v>
      </c>
      <c r="C29" s="13"/>
      <c r="D29" s="450" t="str">
        <f ca="1">OFFSET(L!$C$1,MATCH("Declaration"&amp;ADDRESS(ROW(),COLUMN(),4),L!$A:$A,0)-1,SL,,)</f>
        <v>回答</v>
      </c>
      <c r="E29" s="450"/>
      <c r="F29" s="14"/>
      <c r="G29" s="37" t="str">
        <f ca="1">OFFSET(L!$C$1,MATCH("Declaration"&amp;ADDRESS(ROW(),COLUMN(),4),L!$A:$A,0)-1,SL,,)</f>
        <v>備考</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3">
      <c r="A30" s="34"/>
      <c r="B30" s="299" t="str">
        <f t="shared" ref="B30:B39" si="32">IF(COUNTBLANK(AA12),"",AA12&amp;"(*)")</f>
        <v>Cobalt(*)</v>
      </c>
      <c r="C30" s="28"/>
      <c r="D30" s="439" t="s">
        <v>22</v>
      </c>
      <c r="E30" s="440"/>
      <c r="F30" s="8"/>
      <c r="G30" s="402"/>
      <c r="H30" s="403"/>
      <c r="I30" s="403"/>
      <c r="J30" s="404"/>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3">
      <c r="A31" s="34"/>
      <c r="B31" s="299" t="str">
        <f t="shared" si="32"/>
        <v>Copper(*)</v>
      </c>
      <c r="C31" s="28"/>
      <c r="D31" s="439" t="s">
        <v>22</v>
      </c>
      <c r="E31" s="440"/>
      <c r="F31" s="8"/>
      <c r="G31" s="402"/>
      <c r="H31" s="403"/>
      <c r="I31" s="403"/>
      <c r="J31" s="404"/>
      <c r="K31" s="29"/>
      <c r="L31" s="105"/>
      <c r="O31" s="38" t="str">
        <f t="shared" ref="O31:O39" si="33">IF(B31="","","(*)")</f>
        <v>(*)</v>
      </c>
      <c r="P31" s="38" t="str">
        <f t="shared" ref="P31:P39" si="34">IF(D31="Yes","(*)","")</f>
        <v/>
      </c>
      <c r="Q31" s="38" t="str">
        <f t="shared" ref="Q31:Q39" si="35">IF(D43="Yes","(*)","")</f>
        <v/>
      </c>
      <c r="R31" s="2"/>
      <c r="S31" s="2"/>
      <c r="T31" s="2"/>
      <c r="U31" s="2"/>
      <c r="V31" s="2"/>
      <c r="W31" s="2"/>
      <c r="X31" s="2"/>
      <c r="Y31" s="2"/>
      <c r="Z31" s="2"/>
      <c r="AA31" s="2"/>
      <c r="AB31" s="2"/>
      <c r="AC31" s="2"/>
      <c r="AD31" s="2"/>
      <c r="AE31" s="2"/>
      <c r="AF31" s="2"/>
      <c r="AG31" s="2"/>
    </row>
    <row r="32" spans="1:33" ht="23">
      <c r="A32" s="34"/>
      <c r="B32" s="299" t="str">
        <f t="shared" si="32"/>
        <v>Graphite(*)</v>
      </c>
      <c r="C32" s="28"/>
      <c r="D32" s="439" t="s">
        <v>22</v>
      </c>
      <c r="E32" s="440"/>
      <c r="F32" s="8"/>
      <c r="G32" s="402"/>
      <c r="H32" s="403"/>
      <c r="I32" s="403"/>
      <c r="J32" s="404"/>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3">
      <c r="A33" s="34"/>
      <c r="B33" s="299" t="str">
        <f t="shared" si="32"/>
        <v>Lithium(*)</v>
      </c>
      <c r="C33" s="28"/>
      <c r="D33" s="439" t="s">
        <v>22</v>
      </c>
      <c r="E33" s="440"/>
      <c r="F33" s="8"/>
      <c r="G33" s="402"/>
      <c r="H33" s="403"/>
      <c r="I33" s="403"/>
      <c r="J33" s="404"/>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3">
      <c r="A34" s="34"/>
      <c r="B34" s="299" t="str">
        <f t="shared" si="32"/>
        <v>Mica(*)</v>
      </c>
      <c r="C34" s="28"/>
      <c r="D34" s="439" t="s">
        <v>22</v>
      </c>
      <c r="E34" s="440"/>
      <c r="F34" s="8"/>
      <c r="G34" s="402"/>
      <c r="H34" s="403"/>
      <c r="I34" s="403"/>
      <c r="J34" s="404"/>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3">
      <c r="A35" s="34"/>
      <c r="B35" s="299" t="str">
        <f t="shared" si="32"/>
        <v>Nickel(*)</v>
      </c>
      <c r="C35" s="28"/>
      <c r="D35" s="439" t="s">
        <v>22</v>
      </c>
      <c r="E35" s="440"/>
      <c r="F35" s="8"/>
      <c r="G35" s="402"/>
      <c r="H35" s="403"/>
      <c r="I35" s="403"/>
      <c r="J35" s="404"/>
      <c r="K35" s="29"/>
      <c r="L35" s="105"/>
      <c r="O35" s="38" t="str">
        <f t="shared" si="33"/>
        <v>(*)</v>
      </c>
      <c r="P35" s="38" t="str">
        <f t="shared" si="34"/>
        <v/>
      </c>
      <c r="Q35" s="38" t="str">
        <f t="shared" si="35"/>
        <v/>
      </c>
      <c r="R35" s="2"/>
      <c r="S35" s="2"/>
      <c r="T35" s="2"/>
      <c r="U35" s="2"/>
      <c r="V35" s="2"/>
      <c r="W35" s="2"/>
      <c r="X35" s="2"/>
      <c r="Y35" s="2"/>
      <c r="Z35" s="2"/>
      <c r="AA35" s="2"/>
      <c r="AB35" s="2"/>
      <c r="AC35" s="2"/>
      <c r="AD35" s="2"/>
      <c r="AE35" s="2"/>
      <c r="AF35" s="2"/>
      <c r="AG35" s="2"/>
    </row>
    <row r="36" spans="1:33" ht="23" hidden="1">
      <c r="A36" s="34"/>
      <c r="B36" s="299" t="str">
        <f t="shared" si="32"/>
        <v/>
      </c>
      <c r="C36" s="28"/>
      <c r="D36" s="439" t="s">
        <v>22</v>
      </c>
      <c r="E36" s="440"/>
      <c r="F36" s="8"/>
      <c r="G36" s="402"/>
      <c r="H36" s="403"/>
      <c r="I36" s="403"/>
      <c r="J36" s="404"/>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3" hidden="1">
      <c r="A37" s="34"/>
      <c r="B37" s="299" t="str">
        <f t="shared" si="32"/>
        <v/>
      </c>
      <c r="C37" s="28"/>
      <c r="D37" s="439" t="s">
        <v>22</v>
      </c>
      <c r="E37" s="440"/>
      <c r="F37" s="8"/>
      <c r="G37" s="402"/>
      <c r="H37" s="403"/>
      <c r="I37" s="403"/>
      <c r="J37" s="404"/>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3" hidden="1">
      <c r="A38" s="34"/>
      <c r="B38" s="299" t="str">
        <f t="shared" si="32"/>
        <v/>
      </c>
      <c r="C38" s="28"/>
      <c r="D38" s="439" t="s">
        <v>22</v>
      </c>
      <c r="E38" s="440"/>
      <c r="F38" s="8"/>
      <c r="G38" s="402"/>
      <c r="H38" s="403"/>
      <c r="I38" s="403"/>
      <c r="J38" s="404"/>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3" hidden="1">
      <c r="A39" s="34"/>
      <c r="B39" s="299" t="str">
        <f t="shared" si="32"/>
        <v/>
      </c>
      <c r="C39" s="28"/>
      <c r="D39" s="439" t="s">
        <v>22</v>
      </c>
      <c r="E39" s="440"/>
      <c r="F39" s="8"/>
      <c r="G39" s="402"/>
      <c r="H39" s="403"/>
      <c r="I39" s="403"/>
      <c r="J39" s="404"/>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5">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 customHeight="1">
      <c r="A41" s="34"/>
      <c r="B41" s="37" t="str">
        <f ca="1">OFFSET(L!$C$1,MATCH("Declaration"&amp;ADDRESS(ROW(),COLUMN(),4),L!$A:$A,0)-1,SL,,)&amp;Q41</f>
        <v>2）対象となる鉱物は製品に残留していますか？(*)</v>
      </c>
      <c r="C41" s="13"/>
      <c r="D41" s="441" t="str">
        <f ca="1">D29</f>
        <v>回答</v>
      </c>
      <c r="E41" s="441"/>
      <c r="F41" s="14"/>
      <c r="G41" s="37" t="str">
        <f ca="1">G29</f>
        <v>備考</v>
      </c>
      <c r="H41" s="37"/>
      <c r="I41" s="37"/>
      <c r="J41" s="73"/>
      <c r="K41" s="29"/>
      <c r="L41" s="99" t="s">
        <v>15</v>
      </c>
      <c r="P41" s="301">
        <f>COUNTIF(D$30:E$39,"No")+COUNTIF(D$30:E$39,"Unknown")+COUNTIF(D$30:E$39,"Not declaring")</f>
        <v>10</v>
      </c>
      <c r="Q41" s="38" t="str">
        <f>IF(P41=AA23,"","(*)")</f>
        <v>(*)</v>
      </c>
      <c r="R41" s="2"/>
      <c r="S41" s="2"/>
      <c r="T41" s="2"/>
      <c r="U41" s="2"/>
      <c r="V41" s="2"/>
      <c r="W41" s="2"/>
      <c r="X41" s="2"/>
      <c r="Y41" s="2"/>
      <c r="Z41" s="2"/>
      <c r="AA41" s="2"/>
      <c r="AB41" s="2"/>
      <c r="AC41" s="2"/>
      <c r="AD41" s="2"/>
      <c r="AE41" s="2"/>
      <c r="AF41" s="2"/>
      <c r="AG41" s="2"/>
    </row>
    <row r="42" spans="1:33" ht="23">
      <c r="A42" s="34"/>
      <c r="B42" s="300" t="str">
        <f t="shared" ref="B42:B51" si="36">IF(ISERROR(AA12),"",AA12&amp;"")&amp;P42</f>
        <v>Cobalt</v>
      </c>
      <c r="C42" s="28"/>
      <c r="D42" s="439"/>
      <c r="E42" s="440"/>
      <c r="F42" s="8"/>
      <c r="G42" s="402"/>
      <c r="H42" s="403"/>
      <c r="I42" s="403"/>
      <c r="J42" s="404"/>
      <c r="K42" s="29"/>
      <c r="L42" s="105"/>
      <c r="P42" s="301" t="str">
        <f>IF(OR(D30="No",D30="Unknown",D30="Not declaring"),"",O30)</f>
        <v/>
      </c>
      <c r="R42" s="2"/>
      <c r="S42" s="302" t="str">
        <f>IF(COUNTIF(D42,"Yes"),AA12,"")</f>
        <v/>
      </c>
      <c r="T42" s="303" t="str">
        <f>IF(S43="",S42,IF(S42="",S43,IF(S42&gt;S43,S43,S42)))</f>
        <v/>
      </c>
      <c r="U42" s="303" t="str">
        <f>T42</f>
        <v/>
      </c>
      <c r="V42" s="303" t="str">
        <f t="shared" ref="V42" si="37">IF(U43="",U42,IF(U42="",U43,IF(U42&gt;U43,U43,U42)))</f>
        <v/>
      </c>
      <c r="W42" s="303" t="str">
        <f t="shared" ref="W42" si="38">V42</f>
        <v/>
      </c>
      <c r="X42" s="303" t="str">
        <f t="shared" ref="X42" si="39">IF(W43="",W42,IF(W42="",W43,IF(W42&gt;W43,W43,W42)))</f>
        <v/>
      </c>
      <c r="Y42" s="303" t="str">
        <f t="shared" ref="Y42" si="40">X42</f>
        <v/>
      </c>
      <c r="Z42" s="303" t="str">
        <f t="shared" ref="Z42" si="41">IF(Y43="",Y42,IF(Y42="",Y43,IF(Y42&gt;Y43,Y43,Y42)))</f>
        <v/>
      </c>
      <c r="AA42" s="303" t="str">
        <f t="shared" ref="AA42" si="42">Z42</f>
        <v/>
      </c>
      <c r="AB42" s="303" t="str">
        <f t="shared" ref="AB42" si="43">IF(AA43="",AA42,IF(AA42="",AA43,IF(AA42&gt;AA43,AA43,AA42)))</f>
        <v/>
      </c>
      <c r="AC42" s="303" t="str">
        <f t="shared" ref="AC42" si="44">AB42</f>
        <v/>
      </c>
      <c r="AD42" s="2"/>
      <c r="AE42" s="2"/>
      <c r="AF42" s="2"/>
      <c r="AG42" s="2"/>
    </row>
    <row r="43" spans="1:33" ht="23">
      <c r="A43" s="34"/>
      <c r="B43" s="300" t="str">
        <f t="shared" si="36"/>
        <v>Copper</v>
      </c>
      <c r="C43" s="28"/>
      <c r="D43" s="439"/>
      <c r="E43" s="440"/>
      <c r="F43" s="8"/>
      <c r="G43" s="402"/>
      <c r="H43" s="403"/>
      <c r="I43" s="403"/>
      <c r="J43" s="404"/>
      <c r="K43" s="29"/>
      <c r="L43" s="105"/>
      <c r="P43" s="301" t="str">
        <f t="shared" ref="P43:P51" si="45">IF(OR(D31="No",D31="Unknown",D31="Not declaring"),"",O31)</f>
        <v/>
      </c>
      <c r="R43" s="2"/>
      <c r="S43" s="302" t="str">
        <f t="shared" ref="S43:S51" si="46">IF(COUNTIF(D43,"Yes"),AA13,"")</f>
        <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
      </c>
      <c r="X43" s="303" t="str">
        <f t="shared" ref="X43" si="50">IF(W43="",W43,IF(W42="",W42,IF(W42&gt;W43,W42,W43)))</f>
        <v/>
      </c>
      <c r="Y43" s="303" t="str">
        <f t="shared" ref="Y43" si="51">IF(X44="",X43,IF(X43="",X44,IF(X43&gt;X44,X44,X43)))</f>
        <v/>
      </c>
      <c r="Z43" s="303" t="str">
        <f t="shared" ref="Z43" si="52">IF(Y43="",Y43,IF(Y42="",Y42,IF(Y42&gt;Y43,Y42,Y43)))</f>
        <v/>
      </c>
      <c r="AA43" s="303" t="str">
        <f t="shared" ref="AA43" si="53">IF(Z44="",Z43,IF(Z43="",Z44,IF(Z43&gt;Z44,Z44,Z43)))</f>
        <v/>
      </c>
      <c r="AB43" s="303" t="str">
        <f t="shared" ref="AB43" si="54">IF(AA43="",AA43,IF(AA42="",AA42,IF(AA42&gt;AA43,AA42,AA43)))</f>
        <v/>
      </c>
      <c r="AC43" s="303" t="str">
        <f t="shared" ref="AC43" si="55">IF(AB44="",AB43,IF(AB43="",AB44,IF(AB43&gt;AB44,AB44,AB43)))</f>
        <v/>
      </c>
      <c r="AD43" s="2"/>
      <c r="AE43" s="2"/>
      <c r="AF43" s="2"/>
      <c r="AG43" s="2"/>
    </row>
    <row r="44" spans="1:33" ht="23">
      <c r="A44" s="34"/>
      <c r="B44" s="300" t="str">
        <f t="shared" si="36"/>
        <v>Graphite</v>
      </c>
      <c r="C44" s="28"/>
      <c r="D44" s="439"/>
      <c r="E44" s="440"/>
      <c r="F44" s="8"/>
      <c r="G44" s="402"/>
      <c r="H44" s="403"/>
      <c r="I44" s="403"/>
      <c r="J44" s="404"/>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3">
      <c r="A45" s="34"/>
      <c r="B45" s="300" t="str">
        <f t="shared" si="36"/>
        <v>Lithium</v>
      </c>
      <c r="C45" s="28"/>
      <c r="D45" s="439"/>
      <c r="E45" s="440"/>
      <c r="F45" s="8"/>
      <c r="G45" s="402"/>
      <c r="H45" s="403"/>
      <c r="I45" s="403"/>
      <c r="J45" s="404"/>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3">
      <c r="A46" s="34"/>
      <c r="B46" s="300" t="str">
        <f t="shared" si="36"/>
        <v>Mica</v>
      </c>
      <c r="C46" s="28"/>
      <c r="D46" s="439"/>
      <c r="E46" s="440"/>
      <c r="F46" s="8"/>
      <c r="G46" s="402"/>
      <c r="H46" s="403"/>
      <c r="I46" s="403"/>
      <c r="J46" s="404"/>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3">
      <c r="A47" s="34"/>
      <c r="B47" s="300" t="str">
        <f t="shared" si="36"/>
        <v>Nickel</v>
      </c>
      <c r="C47" s="28"/>
      <c r="D47" s="439"/>
      <c r="E47" s="440"/>
      <c r="F47" s="8"/>
      <c r="G47" s="402"/>
      <c r="H47" s="403"/>
      <c r="I47" s="403"/>
      <c r="J47" s="404"/>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3" hidden="1">
      <c r="A48" s="34"/>
      <c r="B48" s="300" t="str">
        <f t="shared" si="36"/>
        <v/>
      </c>
      <c r="C48" s="28"/>
      <c r="D48" s="439"/>
      <c r="E48" s="440"/>
      <c r="F48" s="8"/>
      <c r="G48" s="402"/>
      <c r="H48" s="403"/>
      <c r="I48" s="403"/>
      <c r="J48" s="404"/>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3" hidden="1">
      <c r="A49" s="34"/>
      <c r="B49" s="300" t="str">
        <f t="shared" si="36"/>
        <v/>
      </c>
      <c r="C49" s="28"/>
      <c r="D49" s="439"/>
      <c r="E49" s="440"/>
      <c r="F49" s="8"/>
      <c r="G49" s="402"/>
      <c r="H49" s="403"/>
      <c r="I49" s="403"/>
      <c r="J49" s="404"/>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3" hidden="1">
      <c r="A50" s="34"/>
      <c r="B50" s="300" t="str">
        <f t="shared" si="36"/>
        <v/>
      </c>
      <c r="C50" s="28"/>
      <c r="D50" s="439"/>
      <c r="E50" s="440"/>
      <c r="F50" s="8"/>
      <c r="G50" s="402"/>
      <c r="H50" s="403"/>
      <c r="I50" s="403"/>
      <c r="J50" s="404"/>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3" hidden="1">
      <c r="A51" s="34"/>
      <c r="B51" s="300" t="str">
        <f t="shared" si="36"/>
        <v/>
      </c>
      <c r="C51" s="28"/>
      <c r="D51" s="439"/>
      <c r="E51" s="440"/>
      <c r="F51" s="8"/>
      <c r="G51" s="402"/>
      <c r="H51" s="403"/>
      <c r="I51" s="403"/>
      <c r="J51" s="404"/>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5">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5" customHeight="1">
      <c r="A53" s="34"/>
      <c r="B53" s="37" t="str">
        <f ca="1">OFFSET(L!$C$1,MATCH("Declaration"&amp;ADDRESS(ROW(),COLUMN(),4),L!$A:$A,0)-1,SL,,)&amp;Q53</f>
        <v>3）貴社サプライチェーン内の製錬業者又は加工業者のいずれかが、紛争地域および高リスク地域を対象となる鉱物の原産地としていますか？（OECDデュー・ディリジェンスガイダンスの「定義（Definitions）」タブを参照） (*)
(*)</v>
      </c>
      <c r="C53" s="6"/>
      <c r="D53" s="441" t="str">
        <f ca="1">D29</f>
        <v>回答</v>
      </c>
      <c r="E53" s="441"/>
      <c r="F53" s="14"/>
      <c r="G53" s="37" t="str">
        <f ca="1">G29</f>
        <v>備考</v>
      </c>
      <c r="H53" s="446"/>
      <c r="I53" s="446"/>
      <c r="J53" s="446"/>
      <c r="K53" s="29"/>
      <c r="L53" s="99" t="s">
        <v>18</v>
      </c>
      <c r="P53" s="38">
        <f>COUNTIF(D$30:E$39,"No")+COUNTIF(D$30:E$39,"Unknown")+COUNTIF(D$30:E$39,"Not declaring")+COUNTIF(D$42:E$51,"No")+COUNTIF(D$42:E$51,"Unknown")</f>
        <v>10</v>
      </c>
      <c r="Q53" s="38" t="str">
        <f>IF(P53=AA23,"","(*)")</f>
        <v>(*)</v>
      </c>
      <c r="R53" s="2"/>
      <c r="S53" s="2"/>
      <c r="T53" s="2"/>
      <c r="U53" s="2"/>
      <c r="V53" s="2"/>
      <c r="W53" s="2"/>
      <c r="X53" s="2"/>
      <c r="Y53" s="2">
        <v>37</v>
      </c>
      <c r="Z53" s="2"/>
      <c r="AA53" s="2"/>
      <c r="AB53" s="2"/>
      <c r="AC53" s="2"/>
      <c r="AD53" s="2"/>
      <c r="AE53" s="2"/>
      <c r="AF53" s="2"/>
      <c r="AG53" s="2"/>
    </row>
    <row r="54" spans="1:33" ht="23">
      <c r="A54" s="34"/>
      <c r="B54" s="300" t="str">
        <f>IF(ISERROR(AA$12),"",AA$12&amp;"")&amp;P$54</f>
        <v>Cobalt</v>
      </c>
      <c r="C54" s="6"/>
      <c r="D54" s="439"/>
      <c r="E54" s="440"/>
      <c r="F54" s="40"/>
      <c r="G54" s="402"/>
      <c r="H54" s="403"/>
      <c r="I54" s="403"/>
      <c r="J54" s="404"/>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3">
      <c r="A55" s="34"/>
      <c r="B55" s="300" t="str">
        <f>IF(ISERROR(AA$13),"",AA$13&amp;"")&amp;P$55</f>
        <v>Copper</v>
      </c>
      <c r="C55" s="6"/>
      <c r="D55" s="439"/>
      <c r="E55" s="440"/>
      <c r="F55" s="40"/>
      <c r="G55" s="402"/>
      <c r="H55" s="403"/>
      <c r="I55" s="403"/>
      <c r="J55" s="404"/>
      <c r="K55" s="29"/>
      <c r="L55" s="105"/>
      <c r="P55" s="301" t="str">
        <f t="shared" ref="P55:P63" si="135">IF(OR(D31="No",D31="Unknown",D31="Not declaring",D43="No",D43="Unknown"),"",O31)</f>
        <v/>
      </c>
      <c r="Q55" s="2"/>
      <c r="R55" s="2"/>
      <c r="S55" s="2"/>
      <c r="T55" s="2"/>
      <c r="U55" s="2"/>
      <c r="V55" s="2"/>
      <c r="W55" s="2"/>
      <c r="X55" s="2"/>
      <c r="Y55" s="2">
        <v>39</v>
      </c>
      <c r="Z55" s="2"/>
      <c r="AA55" s="2"/>
      <c r="AB55" s="2"/>
      <c r="AC55" s="2"/>
      <c r="AD55" s="2"/>
      <c r="AE55" s="2"/>
      <c r="AF55" s="2"/>
    </row>
    <row r="56" spans="1:33" ht="22" customHeight="1">
      <c r="A56" s="34"/>
      <c r="B56" s="300" t="str">
        <f>IF(ISERROR(AA$14),"",AA$14&amp;"")&amp;P$56</f>
        <v>Graphite</v>
      </c>
      <c r="C56" s="6"/>
      <c r="D56" s="439"/>
      <c r="E56" s="440"/>
      <c r="F56" s="40"/>
      <c r="G56" s="402"/>
      <c r="H56" s="403"/>
      <c r="I56" s="403"/>
      <c r="J56" s="404"/>
      <c r="K56" s="29"/>
      <c r="L56" s="105"/>
      <c r="P56" s="301" t="str">
        <f t="shared" si="135"/>
        <v/>
      </c>
      <c r="Q56" s="2"/>
      <c r="R56" s="2"/>
      <c r="S56" s="2"/>
      <c r="T56" s="2"/>
      <c r="U56" s="2"/>
      <c r="V56" s="2"/>
      <c r="W56" s="2"/>
      <c r="X56" s="2"/>
      <c r="Y56" s="2">
        <v>40</v>
      </c>
      <c r="Z56" s="2"/>
      <c r="AA56" s="2"/>
      <c r="AB56" s="2"/>
      <c r="AC56" s="2"/>
      <c r="AD56" s="2"/>
      <c r="AE56" s="2"/>
      <c r="AF56" s="2"/>
    </row>
    <row r="57" spans="1:33" ht="22" customHeight="1">
      <c r="A57" s="34"/>
      <c r="B57" s="300" t="str">
        <f>IF(ISERROR(AA$15),"",AA$15&amp;"")&amp;P$57</f>
        <v>Lithium</v>
      </c>
      <c r="C57" s="6"/>
      <c r="D57" s="439"/>
      <c r="E57" s="440"/>
      <c r="F57" s="40"/>
      <c r="G57" s="402"/>
      <c r="H57" s="403"/>
      <c r="I57" s="403"/>
      <c r="J57" s="404"/>
      <c r="K57" s="29"/>
      <c r="L57" s="105"/>
      <c r="P57" s="301" t="str">
        <f t="shared" si="135"/>
        <v/>
      </c>
      <c r="Q57" s="2"/>
      <c r="R57" s="2"/>
      <c r="S57" s="2"/>
      <c r="T57" s="2"/>
      <c r="U57" s="2"/>
      <c r="V57" s="2"/>
      <c r="W57" s="2"/>
      <c r="X57" s="2"/>
      <c r="Y57" s="2">
        <v>41</v>
      </c>
      <c r="Z57" s="2"/>
      <c r="AA57" s="2"/>
      <c r="AB57" s="2"/>
      <c r="AC57" s="2"/>
      <c r="AD57" s="2"/>
      <c r="AE57" s="2"/>
      <c r="AF57" s="2"/>
    </row>
    <row r="58" spans="1:33" ht="23">
      <c r="A58" s="34"/>
      <c r="B58" s="300" t="str">
        <f>IF(ISERROR(AA$16),"",AA$16&amp;"")&amp;P$58</f>
        <v>Mica</v>
      </c>
      <c r="C58" s="6"/>
      <c r="D58" s="439"/>
      <c r="E58" s="440"/>
      <c r="F58" s="40"/>
      <c r="G58" s="402"/>
      <c r="H58" s="403"/>
      <c r="I58" s="403"/>
      <c r="J58" s="404"/>
      <c r="K58" s="29"/>
      <c r="L58" s="105"/>
      <c r="P58" s="301" t="str">
        <f t="shared" si="135"/>
        <v/>
      </c>
      <c r="Q58" s="2"/>
      <c r="R58" s="2"/>
      <c r="S58" s="2"/>
      <c r="T58" s="2"/>
      <c r="U58" s="2"/>
      <c r="V58" s="2"/>
      <c r="W58" s="2"/>
      <c r="X58" s="2"/>
      <c r="Y58" s="2">
        <v>39</v>
      </c>
      <c r="Z58" s="2"/>
      <c r="AA58" s="2"/>
      <c r="AB58" s="2"/>
      <c r="AC58" s="2"/>
      <c r="AD58" s="2"/>
      <c r="AE58" s="2"/>
      <c r="AF58" s="2"/>
    </row>
    <row r="59" spans="1:33" ht="23">
      <c r="A59" s="34"/>
      <c r="B59" s="300" t="str">
        <f>IF(ISERROR(AA$17),"",AA$17&amp;"")&amp;P$59</f>
        <v>Nickel</v>
      </c>
      <c r="C59" s="6"/>
      <c r="D59" s="439"/>
      <c r="E59" s="440"/>
      <c r="F59" s="40"/>
      <c r="G59" s="402"/>
      <c r="H59" s="403"/>
      <c r="I59" s="403"/>
      <c r="J59" s="404"/>
      <c r="K59" s="29"/>
      <c r="L59" s="105"/>
      <c r="P59" s="301" t="str">
        <f t="shared" si="135"/>
        <v/>
      </c>
      <c r="Q59" s="2"/>
      <c r="R59" s="2"/>
      <c r="S59" s="2"/>
      <c r="T59" s="2"/>
      <c r="U59" s="2"/>
      <c r="V59" s="2"/>
      <c r="W59" s="2"/>
      <c r="X59" s="2"/>
      <c r="Y59" s="2">
        <v>39</v>
      </c>
      <c r="Z59" s="2"/>
      <c r="AA59" s="2"/>
      <c r="AB59" s="2"/>
      <c r="AC59" s="2"/>
      <c r="AD59" s="2"/>
      <c r="AE59" s="2"/>
      <c r="AF59" s="2"/>
    </row>
    <row r="60" spans="1:33" ht="23" hidden="1">
      <c r="A60" s="34"/>
      <c r="B60" s="300" t="str">
        <f>IF(ISERROR(AA$18),"",AA$18&amp;"")&amp;P$60</f>
        <v/>
      </c>
      <c r="C60" s="6"/>
      <c r="D60" s="439"/>
      <c r="E60" s="440"/>
      <c r="F60" s="40"/>
      <c r="G60" s="402"/>
      <c r="H60" s="403"/>
      <c r="I60" s="403"/>
      <c r="J60" s="404"/>
      <c r="K60" s="29"/>
      <c r="L60" s="105"/>
      <c r="P60" s="301" t="str">
        <f t="shared" si="135"/>
        <v/>
      </c>
      <c r="Q60" s="2"/>
      <c r="R60" s="2"/>
      <c r="S60" s="2"/>
      <c r="T60" s="2"/>
      <c r="U60" s="2"/>
      <c r="V60" s="2"/>
      <c r="W60" s="2"/>
      <c r="X60" s="2"/>
      <c r="Y60" s="2">
        <v>39</v>
      </c>
      <c r="Z60" s="2"/>
      <c r="AA60" s="2"/>
      <c r="AB60" s="2"/>
      <c r="AC60" s="2"/>
      <c r="AD60" s="2"/>
      <c r="AE60" s="2"/>
      <c r="AF60" s="2"/>
    </row>
    <row r="61" spans="1:33" ht="23" hidden="1">
      <c r="A61" s="34"/>
      <c r="B61" s="300" t="str">
        <f>IF(ISERROR(AA$19),"",AA$19&amp;"")&amp;P$61</f>
        <v/>
      </c>
      <c r="C61" s="6"/>
      <c r="D61" s="439"/>
      <c r="E61" s="440"/>
      <c r="F61" s="40"/>
      <c r="G61" s="402"/>
      <c r="H61" s="403"/>
      <c r="I61" s="403"/>
      <c r="J61" s="404"/>
      <c r="K61" s="29"/>
      <c r="L61" s="105"/>
      <c r="P61" s="301" t="str">
        <f t="shared" si="135"/>
        <v/>
      </c>
      <c r="Q61" s="2"/>
      <c r="R61" s="2"/>
      <c r="S61" s="2"/>
      <c r="T61" s="2"/>
      <c r="U61" s="2"/>
      <c r="V61" s="2"/>
      <c r="W61" s="2"/>
      <c r="X61" s="2"/>
      <c r="Y61" s="2">
        <v>39</v>
      </c>
      <c r="Z61" s="2"/>
      <c r="AA61" s="2"/>
      <c r="AB61" s="2"/>
      <c r="AC61" s="2"/>
      <c r="AD61" s="2"/>
      <c r="AE61" s="2"/>
      <c r="AF61" s="2"/>
    </row>
    <row r="62" spans="1:33" ht="23" hidden="1">
      <c r="A62" s="34"/>
      <c r="B62" s="300" t="str">
        <f>IF(ISERROR(AA$20),"",AA$20&amp;"")&amp;P$62</f>
        <v/>
      </c>
      <c r="C62" s="6"/>
      <c r="D62" s="439"/>
      <c r="E62" s="440"/>
      <c r="F62" s="40"/>
      <c r="G62" s="402"/>
      <c r="H62" s="403"/>
      <c r="I62" s="403"/>
      <c r="J62" s="404"/>
      <c r="K62" s="29"/>
      <c r="L62" s="105"/>
      <c r="P62" s="301" t="str">
        <f t="shared" si="135"/>
        <v/>
      </c>
      <c r="Q62" s="2"/>
      <c r="R62" s="2"/>
      <c r="S62" s="2"/>
      <c r="T62" s="2"/>
      <c r="U62" s="2"/>
      <c r="V62" s="2"/>
      <c r="W62" s="2"/>
      <c r="X62" s="2"/>
      <c r="Y62" s="2">
        <v>39</v>
      </c>
      <c r="Z62" s="2"/>
      <c r="AA62" s="2"/>
      <c r="AB62" s="2"/>
      <c r="AC62" s="2"/>
      <c r="AD62" s="2"/>
      <c r="AE62" s="2"/>
      <c r="AF62" s="2"/>
    </row>
    <row r="63" spans="1:33" ht="23" hidden="1">
      <c r="A63" s="34"/>
      <c r="B63" s="300" t="str">
        <f>IF(ISERROR(AA$21),"",AA$21&amp;"")&amp;P$63</f>
        <v/>
      </c>
      <c r="C63" s="6"/>
      <c r="D63" s="439"/>
      <c r="E63" s="440"/>
      <c r="F63" s="40"/>
      <c r="G63" s="402"/>
      <c r="H63" s="403"/>
      <c r="I63" s="403"/>
      <c r="J63" s="404"/>
      <c r="K63" s="29"/>
      <c r="L63" s="105"/>
      <c r="P63" s="301" t="str">
        <f t="shared" si="135"/>
        <v/>
      </c>
      <c r="Q63" s="2"/>
      <c r="R63" s="2"/>
      <c r="S63" s="2"/>
      <c r="T63" s="2"/>
      <c r="U63" s="2"/>
      <c r="V63" s="2"/>
      <c r="W63" s="2"/>
      <c r="X63" s="2"/>
      <c r="Y63" s="2">
        <v>39</v>
      </c>
      <c r="Z63" s="2"/>
      <c r="AA63" s="2"/>
      <c r="AB63" s="2"/>
      <c r="AC63" s="2"/>
      <c r="AD63" s="2"/>
      <c r="AE63" s="2"/>
      <c r="AF63" s="2"/>
    </row>
    <row r="64" spans="1:33" ht="17.5">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 customHeight="1">
      <c r="A65" s="34"/>
      <c r="B65" s="37" t="str">
        <f ca="1">OFFSET(L!$C$1,MATCH("Declaration"&amp;ADDRESS(ROW(),COLUMN(),4),L!$A:$A,0)-1,SL,,)&amp;Q53</f>
        <v>4）対象となる鉱物は全て、再生利用品又はスクラップ起源から調達していますか？(*)</v>
      </c>
      <c r="C65" s="6"/>
      <c r="D65" s="441" t="str">
        <f ca="1">D29</f>
        <v>回答</v>
      </c>
      <c r="E65" s="441"/>
      <c r="F65" s="14"/>
      <c r="G65" s="37" t="str">
        <f ca="1">G29</f>
        <v>備考</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3">
      <c r="A66" s="34"/>
      <c r="B66" s="300" t="str">
        <f>IF(ISERROR(AA$12),"",AA$12&amp;"")&amp;P$54</f>
        <v>Cobalt</v>
      </c>
      <c r="C66" s="6"/>
      <c r="D66" s="439"/>
      <c r="E66" s="440"/>
      <c r="F66" s="40"/>
      <c r="G66" s="402"/>
      <c r="H66" s="403"/>
      <c r="I66" s="403"/>
      <c r="J66" s="404"/>
      <c r="K66" s="29"/>
      <c r="L66" s="105"/>
      <c r="P66" s="2"/>
      <c r="Q66" s="2"/>
      <c r="R66" s="2"/>
      <c r="S66" s="2"/>
      <c r="T66" s="2"/>
      <c r="U66" s="2"/>
      <c r="V66" s="2"/>
      <c r="W66" s="2"/>
      <c r="X66" s="2"/>
      <c r="Y66" s="2">
        <v>44</v>
      </c>
      <c r="Z66" s="2"/>
      <c r="AA66" s="2"/>
      <c r="AB66" s="2"/>
      <c r="AC66" s="2"/>
      <c r="AD66" s="2"/>
      <c r="AE66" s="2"/>
      <c r="AF66" s="2"/>
      <c r="AG66" s="2"/>
    </row>
    <row r="67" spans="1:33" ht="20" customHeight="1">
      <c r="A67" s="34"/>
      <c r="B67" s="300" t="str">
        <f>IF(ISERROR(AA$13),"",AA$13&amp;"")&amp;P$55</f>
        <v>Copper</v>
      </c>
      <c r="C67" s="6"/>
      <c r="D67" s="439"/>
      <c r="E67" s="440"/>
      <c r="F67" s="40"/>
      <c r="G67" s="402"/>
      <c r="H67" s="403"/>
      <c r="I67" s="403"/>
      <c r="J67" s="404"/>
      <c r="K67" s="29"/>
      <c r="L67" s="105"/>
      <c r="P67" s="2"/>
      <c r="Q67" s="2"/>
      <c r="R67" s="2"/>
      <c r="S67" s="2"/>
      <c r="T67" s="2"/>
      <c r="U67" s="2"/>
      <c r="V67" s="2"/>
      <c r="W67" s="2"/>
      <c r="X67" s="2"/>
      <c r="Y67" s="2">
        <v>45</v>
      </c>
      <c r="Z67" s="2"/>
      <c r="AA67" s="2"/>
      <c r="AB67" s="2"/>
      <c r="AC67" s="2"/>
      <c r="AD67" s="2"/>
      <c r="AE67" s="2"/>
      <c r="AF67" s="2"/>
      <c r="AG67" s="2"/>
    </row>
    <row r="68" spans="1:33" ht="20" customHeight="1">
      <c r="A68" s="34"/>
      <c r="B68" s="300" t="str">
        <f>IF(ISERROR(AA$14),"",AA$14&amp;"")&amp;P$56</f>
        <v>Graphite</v>
      </c>
      <c r="C68" s="6"/>
      <c r="D68" s="439"/>
      <c r="E68" s="440"/>
      <c r="F68" s="40"/>
      <c r="G68" s="402"/>
      <c r="H68" s="403"/>
      <c r="I68" s="403"/>
      <c r="J68" s="404"/>
      <c r="K68" s="29"/>
      <c r="L68" s="105"/>
      <c r="P68" s="2"/>
      <c r="Q68" s="2"/>
      <c r="R68" s="2"/>
      <c r="S68" s="2"/>
      <c r="T68" s="2"/>
      <c r="U68" s="2"/>
      <c r="V68" s="2"/>
      <c r="W68" s="2"/>
      <c r="X68" s="2"/>
      <c r="Y68" s="2">
        <v>45</v>
      </c>
      <c r="Z68" s="2"/>
      <c r="AA68" s="2"/>
      <c r="AB68" s="2"/>
      <c r="AC68" s="2"/>
      <c r="AD68" s="2"/>
      <c r="AE68" s="2"/>
      <c r="AF68" s="2"/>
      <c r="AG68" s="2"/>
    </row>
    <row r="69" spans="1:33" ht="20" customHeight="1">
      <c r="A69" s="34"/>
      <c r="B69" s="300" t="str">
        <f>IF(ISERROR(AA$15),"",AA$15&amp;"")&amp;P$57</f>
        <v>Lithium</v>
      </c>
      <c r="C69" s="6"/>
      <c r="D69" s="439"/>
      <c r="E69" s="440"/>
      <c r="F69" s="40"/>
      <c r="G69" s="402"/>
      <c r="H69" s="403"/>
      <c r="I69" s="403"/>
      <c r="J69" s="404"/>
      <c r="K69" s="29"/>
      <c r="L69" s="105"/>
      <c r="P69" s="2"/>
      <c r="Q69" s="2"/>
      <c r="R69" s="2"/>
      <c r="S69" s="2"/>
      <c r="T69" s="2"/>
      <c r="U69" s="2"/>
      <c r="V69" s="2"/>
      <c r="W69" s="2"/>
      <c r="X69" s="2"/>
      <c r="Y69" s="2">
        <v>45</v>
      </c>
      <c r="Z69" s="2"/>
      <c r="AA69" s="2"/>
      <c r="AB69" s="2"/>
      <c r="AC69" s="2"/>
      <c r="AD69" s="2"/>
      <c r="AE69" s="2"/>
      <c r="AF69" s="2"/>
      <c r="AG69" s="2"/>
    </row>
    <row r="70" spans="1:33" ht="20" customHeight="1">
      <c r="A70" s="34"/>
      <c r="B70" s="300" t="str">
        <f>IF(ISERROR(AA$16),"",AA$16&amp;"")&amp;P$58</f>
        <v>Mica</v>
      </c>
      <c r="C70" s="6"/>
      <c r="D70" s="439"/>
      <c r="E70" s="440"/>
      <c r="F70" s="40"/>
      <c r="G70" s="402"/>
      <c r="H70" s="403"/>
      <c r="I70" s="403"/>
      <c r="J70" s="404"/>
      <c r="K70" s="29"/>
      <c r="L70" s="105"/>
      <c r="P70" s="2"/>
      <c r="Q70" s="2"/>
      <c r="R70" s="2"/>
      <c r="S70" s="2"/>
      <c r="T70" s="2"/>
      <c r="U70" s="2"/>
      <c r="V70" s="2"/>
      <c r="W70" s="2"/>
      <c r="X70" s="2"/>
      <c r="Y70" s="2">
        <v>45</v>
      </c>
      <c r="Z70" s="2"/>
      <c r="AA70" s="2"/>
      <c r="AB70" s="2"/>
      <c r="AC70" s="2"/>
      <c r="AD70" s="2"/>
      <c r="AE70" s="2"/>
      <c r="AF70" s="2"/>
      <c r="AG70" s="2"/>
    </row>
    <row r="71" spans="1:33" ht="20" customHeight="1">
      <c r="A71" s="34"/>
      <c r="B71" s="300" t="str">
        <f>IF(ISERROR(AA$17),"",AA$17&amp;"")&amp;P$59</f>
        <v>Nickel</v>
      </c>
      <c r="C71" s="6"/>
      <c r="D71" s="439"/>
      <c r="E71" s="440"/>
      <c r="F71" s="40"/>
      <c r="G71" s="402"/>
      <c r="H71" s="403"/>
      <c r="I71" s="403"/>
      <c r="J71" s="404"/>
      <c r="K71" s="29"/>
      <c r="L71" s="105"/>
      <c r="P71" s="2"/>
      <c r="Q71" s="2"/>
      <c r="R71" s="2"/>
      <c r="S71" s="2"/>
      <c r="T71" s="2"/>
      <c r="U71" s="2"/>
      <c r="V71" s="2"/>
      <c r="W71" s="2"/>
      <c r="X71" s="2"/>
      <c r="Y71" s="2">
        <v>45</v>
      </c>
      <c r="Z71" s="2"/>
      <c r="AA71" s="2"/>
      <c r="AB71" s="2"/>
      <c r="AC71" s="2"/>
      <c r="AD71" s="2"/>
      <c r="AE71" s="2"/>
      <c r="AF71" s="2"/>
      <c r="AG71" s="2"/>
    </row>
    <row r="72" spans="1:33" ht="20" hidden="1" customHeight="1">
      <c r="A72" s="34"/>
      <c r="B72" s="300" t="str">
        <f>IF(ISERROR(AA$18),"",AA$18&amp;"")&amp;P$60</f>
        <v/>
      </c>
      <c r="C72" s="6"/>
      <c r="D72" s="439"/>
      <c r="E72" s="440"/>
      <c r="F72" s="40"/>
      <c r="G72" s="402"/>
      <c r="H72" s="403"/>
      <c r="I72" s="403"/>
      <c r="J72" s="404"/>
      <c r="K72" s="29"/>
      <c r="L72" s="105"/>
      <c r="P72" s="2"/>
      <c r="Q72" s="2"/>
      <c r="R72" s="2"/>
      <c r="S72" s="2"/>
      <c r="T72" s="2"/>
      <c r="U72" s="2"/>
      <c r="V72" s="2"/>
      <c r="W72" s="2"/>
      <c r="X72" s="2"/>
      <c r="Y72" s="2">
        <v>45</v>
      </c>
      <c r="Z72" s="2"/>
      <c r="AA72" s="2"/>
      <c r="AB72" s="2"/>
      <c r="AC72" s="2"/>
      <c r="AD72" s="2"/>
      <c r="AE72" s="2"/>
      <c r="AF72" s="2"/>
      <c r="AG72" s="2"/>
    </row>
    <row r="73" spans="1:33" ht="20" hidden="1" customHeight="1">
      <c r="A73" s="34"/>
      <c r="B73" s="300" t="str">
        <f>IF(ISERROR(AA$19),"",AA$19&amp;"")&amp;P$61</f>
        <v/>
      </c>
      <c r="C73" s="6"/>
      <c r="D73" s="439"/>
      <c r="E73" s="440"/>
      <c r="F73" s="40"/>
      <c r="G73" s="402"/>
      <c r="H73" s="403"/>
      <c r="I73" s="403"/>
      <c r="J73" s="404"/>
      <c r="K73" s="29"/>
      <c r="L73" s="105"/>
      <c r="P73" s="2"/>
      <c r="Q73" s="2"/>
      <c r="R73" s="2"/>
      <c r="S73" s="2"/>
      <c r="T73" s="2"/>
      <c r="U73" s="2"/>
      <c r="V73" s="2"/>
      <c r="W73" s="2"/>
      <c r="X73" s="2"/>
      <c r="Y73" s="2">
        <v>45</v>
      </c>
      <c r="Z73" s="2"/>
      <c r="AA73" s="2"/>
      <c r="AB73" s="2"/>
      <c r="AC73" s="2"/>
      <c r="AD73" s="2"/>
      <c r="AE73" s="2"/>
      <c r="AF73" s="2"/>
      <c r="AG73" s="2"/>
    </row>
    <row r="74" spans="1:33" ht="20" hidden="1" customHeight="1">
      <c r="A74" s="34"/>
      <c r="B74" s="300" t="str">
        <f>IF(ISERROR(AA$20),"",AA$20&amp;"")&amp;P$62</f>
        <v/>
      </c>
      <c r="C74" s="6"/>
      <c r="D74" s="439"/>
      <c r="E74" s="440"/>
      <c r="F74" s="40"/>
      <c r="G74" s="402"/>
      <c r="H74" s="403"/>
      <c r="I74" s="403"/>
      <c r="J74" s="404"/>
      <c r="K74" s="29"/>
      <c r="L74" s="105"/>
      <c r="P74" s="2"/>
      <c r="Q74" s="2"/>
      <c r="R74" s="2"/>
      <c r="S74" s="2"/>
      <c r="T74" s="2"/>
      <c r="U74" s="2"/>
      <c r="V74" s="2"/>
      <c r="W74" s="2"/>
      <c r="X74" s="2"/>
      <c r="Y74" s="2">
        <v>45</v>
      </c>
      <c r="Z74" s="2"/>
      <c r="AA74" s="2"/>
      <c r="AB74" s="2"/>
      <c r="AC74" s="2"/>
      <c r="AD74" s="2"/>
      <c r="AE74" s="2"/>
      <c r="AF74" s="2"/>
      <c r="AG74" s="2"/>
    </row>
    <row r="75" spans="1:33" ht="20" hidden="1" customHeight="1">
      <c r="A75" s="34"/>
      <c r="B75" s="300" t="str">
        <f>IF(ISERROR(AA$21),"",AA$21&amp;"")&amp;P$63</f>
        <v/>
      </c>
      <c r="C75" s="6"/>
      <c r="D75" s="439"/>
      <c r="E75" s="440"/>
      <c r="F75" s="40"/>
      <c r="G75" s="402"/>
      <c r="H75" s="403"/>
      <c r="I75" s="403"/>
      <c r="J75" s="404"/>
      <c r="K75" s="29"/>
      <c r="L75" s="105"/>
      <c r="P75" s="2"/>
      <c r="Q75" s="2"/>
      <c r="R75" s="2"/>
      <c r="S75" s="2"/>
      <c r="T75" s="2"/>
      <c r="U75" s="2"/>
      <c r="V75" s="2"/>
      <c r="W75" s="2"/>
      <c r="X75" s="2"/>
      <c r="Y75" s="2">
        <v>45</v>
      </c>
      <c r="Z75" s="2"/>
      <c r="AA75" s="2"/>
      <c r="AB75" s="2"/>
      <c r="AC75" s="2"/>
      <c r="AD75" s="2"/>
      <c r="AE75" s="2"/>
      <c r="AF75" s="2"/>
      <c r="AG75" s="2"/>
    </row>
    <row r="76" spans="1:33" ht="17.5">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5）サプライチェーン調査に回答した関連するサプライヤーは何パーセントですか？(*)</v>
      </c>
      <c r="C77" s="6"/>
      <c r="D77" s="441" t="str">
        <f ca="1">D29</f>
        <v>回答</v>
      </c>
      <c r="E77" s="441"/>
      <c r="F77" s="14"/>
      <c r="G77" s="37" t="str">
        <f ca="1">G29</f>
        <v>備考</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3">
      <c r="A78" s="34"/>
      <c r="B78" s="300" t="str">
        <f>IF(ISERROR(AA$12),"",AA$12&amp;"")&amp;P$54</f>
        <v>Cobalt</v>
      </c>
      <c r="C78" s="28"/>
      <c r="D78" s="439"/>
      <c r="E78" s="440"/>
      <c r="F78" s="40"/>
      <c r="G78" s="402"/>
      <c r="H78" s="403"/>
      <c r="I78" s="403"/>
      <c r="J78" s="404"/>
      <c r="K78" s="29"/>
      <c r="L78" s="105"/>
      <c r="P78" s="2"/>
      <c r="Q78" s="2"/>
      <c r="R78" s="2"/>
      <c r="S78" s="2"/>
      <c r="T78" s="2"/>
      <c r="U78" s="2"/>
      <c r="V78" s="2"/>
      <c r="W78" s="2"/>
      <c r="X78" s="2"/>
      <c r="Y78" s="2">
        <v>50</v>
      </c>
      <c r="Z78" s="2"/>
      <c r="AA78" s="2"/>
      <c r="AB78" s="2"/>
      <c r="AC78" s="2"/>
      <c r="AD78" s="2"/>
      <c r="AE78" s="2"/>
      <c r="AF78" s="2"/>
      <c r="AG78" s="2"/>
    </row>
    <row r="79" spans="1:33" ht="23">
      <c r="A79" s="34"/>
      <c r="B79" s="300" t="str">
        <f>IF(ISERROR(AA$13),"",AA$13&amp;"")&amp;P$55</f>
        <v>Copper</v>
      </c>
      <c r="C79" s="28"/>
      <c r="D79" s="439"/>
      <c r="E79" s="440"/>
      <c r="F79" s="40"/>
      <c r="G79" s="402"/>
      <c r="H79" s="403"/>
      <c r="I79" s="403"/>
      <c r="J79" s="404"/>
      <c r="K79" s="29"/>
      <c r="L79" s="105"/>
      <c r="P79" s="2"/>
      <c r="Q79" s="2"/>
      <c r="R79" s="2"/>
      <c r="S79" s="2"/>
      <c r="T79" s="2"/>
      <c r="U79" s="2"/>
      <c r="V79" s="2"/>
      <c r="W79" s="2"/>
      <c r="X79" s="2"/>
      <c r="Y79" s="2">
        <v>51</v>
      </c>
      <c r="Z79" s="2"/>
      <c r="AA79" s="2"/>
      <c r="AB79" s="2"/>
      <c r="AC79" s="2"/>
      <c r="AD79" s="2"/>
      <c r="AE79" s="2"/>
      <c r="AF79" s="2"/>
      <c r="AG79" s="2"/>
    </row>
    <row r="80" spans="1:33" ht="26" customHeight="1">
      <c r="A80" s="34"/>
      <c r="B80" s="300" t="str">
        <f>IF(ISERROR(AA$14),"",AA$14&amp;"")&amp;P$56</f>
        <v>Graphite</v>
      </c>
      <c r="C80" s="28"/>
      <c r="D80" s="439"/>
      <c r="E80" s="440"/>
      <c r="F80" s="40"/>
      <c r="G80" s="402"/>
      <c r="H80" s="403"/>
      <c r="I80" s="403"/>
      <c r="J80" s="404"/>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39"/>
      <c r="E81" s="440"/>
      <c r="F81" s="40"/>
      <c r="G81" s="402"/>
      <c r="H81" s="403"/>
      <c r="I81" s="403"/>
      <c r="J81" s="404"/>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39"/>
      <c r="E82" s="440"/>
      <c r="F82" s="40"/>
      <c r="G82" s="402"/>
      <c r="H82" s="403"/>
      <c r="I82" s="403"/>
      <c r="J82" s="404"/>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39"/>
      <c r="E83" s="440"/>
      <c r="F83" s="40"/>
      <c r="G83" s="402"/>
      <c r="H83" s="403"/>
      <c r="I83" s="403"/>
      <c r="J83" s="404"/>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9"/>
      <c r="E84" s="440"/>
      <c r="F84" s="40"/>
      <c r="G84" s="402"/>
      <c r="H84" s="403"/>
      <c r="I84" s="403"/>
      <c r="J84" s="404"/>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9"/>
      <c r="E85" s="440"/>
      <c r="F85" s="40"/>
      <c r="G85" s="402"/>
      <c r="H85" s="403"/>
      <c r="I85" s="403"/>
      <c r="J85" s="404"/>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9"/>
      <c r="E86" s="440"/>
      <c r="F86" s="40"/>
      <c r="G86" s="402"/>
      <c r="H86" s="403"/>
      <c r="I86" s="403"/>
      <c r="J86" s="404"/>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9"/>
      <c r="E87" s="440"/>
      <c r="F87" s="40"/>
      <c r="G87" s="402"/>
      <c r="H87" s="403"/>
      <c r="I87" s="403"/>
      <c r="J87" s="404"/>
      <c r="K87" s="29"/>
      <c r="L87" s="105"/>
      <c r="P87" s="2"/>
      <c r="Q87" s="2"/>
      <c r="R87" s="2"/>
      <c r="S87" s="2"/>
      <c r="T87" s="2"/>
      <c r="U87" s="2"/>
      <c r="V87" s="2"/>
      <c r="W87" s="2"/>
      <c r="X87" s="2"/>
      <c r="Y87" s="2">
        <v>53</v>
      </c>
      <c r="Z87" s="2"/>
      <c r="AA87" s="2"/>
      <c r="AB87" s="2"/>
      <c r="AC87" s="2"/>
      <c r="AD87" s="2"/>
      <c r="AE87" s="2"/>
      <c r="AF87" s="2"/>
      <c r="AG87" s="2"/>
    </row>
    <row r="88" spans="1:33" ht="1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5">
      <c r="A89" s="34"/>
      <c r="B89" s="122" t="str">
        <f ca="1">OFFSET(L!$C$1,MATCH("Declaration"&amp;ADDRESS(ROW(),COLUMN(),4),L!$A:$A,0)-1,SL,,)&amp;Q53</f>
        <v>6）貴社のサプライチェーンに対象となる鉱物を供給する全ての製錬業者又は加工業者を特定しましたか？(*)</v>
      </c>
      <c r="C89" s="6"/>
      <c r="D89" s="441" t="str">
        <f ca="1">D29</f>
        <v>回答</v>
      </c>
      <c r="E89" s="441"/>
      <c r="F89" s="14"/>
      <c r="G89" s="37" t="str">
        <f ca="1">G29</f>
        <v>備考</v>
      </c>
      <c r="H89" s="453"/>
      <c r="I89" s="453"/>
      <c r="J89" s="453"/>
      <c r="K89" s="29"/>
      <c r="L89" s="99" t="s">
        <v>15</v>
      </c>
      <c r="M89" s="100"/>
      <c r="P89" s="2"/>
      <c r="Q89" s="2"/>
      <c r="R89" s="2"/>
      <c r="S89" s="2"/>
      <c r="T89" s="2"/>
      <c r="U89" s="2"/>
      <c r="V89" s="2"/>
      <c r="W89" s="2"/>
      <c r="X89" s="2"/>
      <c r="Y89" s="2">
        <v>55</v>
      </c>
      <c r="Z89" s="2"/>
      <c r="AA89" s="2"/>
      <c r="AB89" s="2"/>
      <c r="AC89" s="2"/>
      <c r="AD89" s="2"/>
      <c r="AE89" s="2"/>
      <c r="AF89" s="2"/>
      <c r="AG89" s="2"/>
    </row>
    <row r="90" spans="1:33" ht="23">
      <c r="A90" s="34"/>
      <c r="B90" s="300" t="str">
        <f>IF(ISERROR(AA$12),"",AA$12&amp;"")&amp;P$54</f>
        <v>Cobalt</v>
      </c>
      <c r="C90" s="6"/>
      <c r="D90" s="439"/>
      <c r="E90" s="440"/>
      <c r="F90" s="40"/>
      <c r="G90" s="402"/>
      <c r="H90" s="403"/>
      <c r="I90" s="403"/>
      <c r="J90" s="404"/>
      <c r="K90" s="29"/>
      <c r="L90" s="105"/>
      <c r="P90" s="2"/>
      <c r="Q90" s="2"/>
      <c r="R90" s="2"/>
      <c r="S90" s="2"/>
      <c r="T90" s="2"/>
      <c r="U90" s="2"/>
      <c r="V90" s="2"/>
      <c r="W90" s="2"/>
      <c r="X90" s="2"/>
      <c r="Y90" s="2">
        <v>56</v>
      </c>
      <c r="Z90" s="2"/>
      <c r="AA90" s="2"/>
      <c r="AB90" s="2"/>
      <c r="AC90" s="2"/>
      <c r="AD90" s="2"/>
      <c r="AE90" s="2"/>
      <c r="AF90" s="2"/>
      <c r="AG90" s="2"/>
    </row>
    <row r="91" spans="1:33" ht="23">
      <c r="A91" s="34"/>
      <c r="B91" s="300" t="str">
        <f>IF(ISERROR(AA$13),"",AA$13&amp;"")&amp;P$55</f>
        <v>Copper</v>
      </c>
      <c r="C91" s="6"/>
      <c r="D91" s="439"/>
      <c r="E91" s="440"/>
      <c r="F91" s="40"/>
      <c r="G91" s="402"/>
      <c r="H91" s="403"/>
      <c r="I91" s="403"/>
      <c r="J91" s="404"/>
      <c r="K91" s="29"/>
      <c r="L91" s="105"/>
      <c r="P91" s="2"/>
      <c r="Q91" s="2"/>
      <c r="R91" s="2"/>
      <c r="S91" s="2"/>
      <c r="T91" s="2"/>
      <c r="U91" s="2"/>
      <c r="V91" s="2"/>
      <c r="W91" s="2"/>
      <c r="X91" s="2"/>
      <c r="Y91" s="2">
        <v>57</v>
      </c>
      <c r="Z91" s="2"/>
      <c r="AA91" s="2"/>
      <c r="AB91" s="2"/>
      <c r="AC91" s="2"/>
      <c r="AD91" s="2"/>
      <c r="AE91" s="2"/>
      <c r="AF91" s="2"/>
      <c r="AG91" s="2"/>
    </row>
    <row r="92" spans="1:33" ht="23">
      <c r="A92" s="34"/>
      <c r="B92" s="300" t="str">
        <f>IF(ISERROR(AA$14),"",AA$14&amp;"")&amp;P$56</f>
        <v>Graphite</v>
      </c>
      <c r="C92" s="6"/>
      <c r="D92" s="439"/>
      <c r="E92" s="440"/>
      <c r="F92" s="40"/>
      <c r="G92" s="402"/>
      <c r="H92" s="403"/>
      <c r="I92" s="403"/>
      <c r="J92" s="404"/>
      <c r="K92" s="29"/>
      <c r="L92" s="105"/>
      <c r="P92" s="2"/>
      <c r="Q92" s="2"/>
      <c r="R92" s="2"/>
      <c r="S92" s="2"/>
      <c r="T92" s="2"/>
      <c r="U92" s="2"/>
      <c r="V92" s="2"/>
      <c r="W92" s="2"/>
      <c r="X92" s="2"/>
      <c r="Y92" s="2">
        <v>58</v>
      </c>
      <c r="Z92" s="2"/>
      <c r="AA92" s="2"/>
      <c r="AB92" s="2"/>
      <c r="AC92" s="2"/>
      <c r="AD92" s="2"/>
      <c r="AE92" s="2"/>
      <c r="AF92" s="2"/>
      <c r="AG92" s="2"/>
    </row>
    <row r="93" spans="1:33" ht="23">
      <c r="A93" s="34"/>
      <c r="B93" s="300" t="str">
        <f>IF(ISERROR(AA$15),"",AA$15&amp;"")&amp;P$57</f>
        <v>Lithium</v>
      </c>
      <c r="C93" s="6"/>
      <c r="D93" s="439"/>
      <c r="E93" s="440"/>
      <c r="F93" s="40"/>
      <c r="G93" s="402"/>
      <c r="H93" s="403"/>
      <c r="I93" s="403"/>
      <c r="J93" s="404"/>
      <c r="K93" s="29"/>
      <c r="L93" s="105"/>
      <c r="P93" s="2"/>
      <c r="Q93" s="2"/>
      <c r="R93" s="2"/>
      <c r="S93" s="2"/>
      <c r="T93" s="2"/>
      <c r="U93" s="2"/>
      <c r="V93" s="2"/>
      <c r="W93" s="2"/>
      <c r="X93" s="2"/>
      <c r="Y93" s="2">
        <v>59</v>
      </c>
      <c r="Z93" s="2"/>
      <c r="AA93" s="2"/>
      <c r="AB93" s="2"/>
      <c r="AC93" s="2"/>
      <c r="AD93" s="2"/>
      <c r="AE93" s="2"/>
      <c r="AF93" s="2"/>
      <c r="AG93" s="2"/>
    </row>
    <row r="94" spans="1:33" ht="23">
      <c r="A94" s="34"/>
      <c r="B94" s="300" t="str">
        <f>IF(ISERROR(AA$16),"",AA$16&amp;"")&amp;P$58</f>
        <v>Mica</v>
      </c>
      <c r="C94" s="6"/>
      <c r="D94" s="439"/>
      <c r="E94" s="440"/>
      <c r="F94" s="40"/>
      <c r="G94" s="402"/>
      <c r="H94" s="403"/>
      <c r="I94" s="403"/>
      <c r="J94" s="404"/>
      <c r="K94" s="29"/>
      <c r="L94" s="105"/>
      <c r="P94" s="2"/>
      <c r="Q94" s="2"/>
      <c r="R94" s="2"/>
      <c r="S94" s="2"/>
      <c r="T94" s="2"/>
      <c r="U94" s="2"/>
      <c r="V94" s="2"/>
      <c r="W94" s="2"/>
      <c r="X94" s="2"/>
      <c r="Y94" s="2">
        <v>58</v>
      </c>
      <c r="Z94" s="2"/>
      <c r="AA94" s="2"/>
      <c r="AB94" s="2"/>
      <c r="AC94" s="2"/>
      <c r="AD94" s="2"/>
      <c r="AE94" s="2"/>
      <c r="AF94" s="2"/>
      <c r="AG94" s="2"/>
    </row>
    <row r="95" spans="1:33" ht="23">
      <c r="A95" s="34"/>
      <c r="B95" s="300" t="str">
        <f>IF(ISERROR(AA$17),"",AA$17&amp;"")&amp;P$59</f>
        <v>Nickel</v>
      </c>
      <c r="C95" s="6"/>
      <c r="D95" s="439"/>
      <c r="E95" s="440"/>
      <c r="F95" s="40"/>
      <c r="G95" s="402"/>
      <c r="H95" s="403"/>
      <c r="I95" s="403"/>
      <c r="J95" s="404"/>
      <c r="K95" s="29"/>
      <c r="L95" s="105"/>
      <c r="P95" s="2"/>
      <c r="Q95" s="2"/>
      <c r="R95" s="2"/>
      <c r="S95" s="2"/>
      <c r="T95" s="2"/>
      <c r="U95" s="2"/>
      <c r="V95" s="2"/>
      <c r="W95" s="2"/>
      <c r="X95" s="2"/>
      <c r="Y95" s="2">
        <v>58</v>
      </c>
      <c r="Z95" s="2"/>
      <c r="AA95" s="2"/>
      <c r="AB95" s="2"/>
      <c r="AC95" s="2"/>
      <c r="AD95" s="2"/>
      <c r="AE95" s="2"/>
      <c r="AF95" s="2"/>
      <c r="AG95" s="2"/>
    </row>
    <row r="96" spans="1:33" ht="23" hidden="1">
      <c r="A96" s="34"/>
      <c r="B96" s="300" t="str">
        <f>IF(ISERROR(AA$18),"",AA$18&amp;"")&amp;P$60</f>
        <v/>
      </c>
      <c r="C96" s="6"/>
      <c r="D96" s="439"/>
      <c r="E96" s="440"/>
      <c r="F96" s="40"/>
      <c r="G96" s="402"/>
      <c r="H96" s="403"/>
      <c r="I96" s="403"/>
      <c r="J96" s="404"/>
      <c r="K96" s="29"/>
      <c r="L96" s="105"/>
      <c r="P96" s="2"/>
      <c r="Q96" s="2"/>
      <c r="R96" s="2"/>
      <c r="S96" s="2"/>
      <c r="T96" s="2"/>
      <c r="U96" s="2"/>
      <c r="V96" s="2"/>
      <c r="W96" s="2"/>
      <c r="X96" s="2"/>
      <c r="Y96" s="2">
        <v>58</v>
      </c>
      <c r="Z96" s="2"/>
      <c r="AA96" s="2"/>
      <c r="AB96" s="2"/>
      <c r="AC96" s="2"/>
      <c r="AD96" s="2"/>
      <c r="AE96" s="2"/>
      <c r="AF96" s="2"/>
      <c r="AG96" s="2"/>
    </row>
    <row r="97" spans="1:33" ht="23" hidden="1">
      <c r="A97" s="34"/>
      <c r="B97" s="300" t="str">
        <f>IF(ISERROR(AA$19),"",AA$19&amp;"")&amp;P$61</f>
        <v/>
      </c>
      <c r="C97" s="6"/>
      <c r="D97" s="439"/>
      <c r="E97" s="440"/>
      <c r="F97" s="40"/>
      <c r="G97" s="402"/>
      <c r="H97" s="403"/>
      <c r="I97" s="403"/>
      <c r="J97" s="404"/>
      <c r="K97" s="29"/>
      <c r="L97" s="105"/>
      <c r="P97" s="2"/>
      <c r="Q97" s="2"/>
      <c r="R97" s="2"/>
      <c r="S97" s="2"/>
      <c r="T97" s="2"/>
      <c r="U97" s="2"/>
      <c r="V97" s="2"/>
      <c r="W97" s="2"/>
      <c r="X97" s="2"/>
      <c r="Y97" s="2">
        <v>58</v>
      </c>
      <c r="Z97" s="2"/>
      <c r="AA97" s="2"/>
      <c r="AB97" s="2"/>
      <c r="AC97" s="2"/>
      <c r="AD97" s="2"/>
      <c r="AE97" s="2"/>
      <c r="AF97" s="2"/>
      <c r="AG97" s="2"/>
    </row>
    <row r="98" spans="1:33" ht="23" hidden="1">
      <c r="A98" s="34"/>
      <c r="B98" s="300" t="str">
        <f>IF(ISERROR(AA$20),"",AA$20&amp;"")&amp;P$62</f>
        <v/>
      </c>
      <c r="C98" s="6"/>
      <c r="D98" s="439"/>
      <c r="E98" s="440"/>
      <c r="F98" s="40"/>
      <c r="G98" s="402"/>
      <c r="H98" s="403"/>
      <c r="I98" s="403"/>
      <c r="J98" s="404"/>
      <c r="K98" s="29"/>
      <c r="L98" s="105"/>
      <c r="P98" s="2"/>
      <c r="Q98" s="2"/>
      <c r="R98" s="2"/>
      <c r="S98" s="2"/>
      <c r="T98" s="2"/>
      <c r="U98" s="2"/>
      <c r="V98" s="2"/>
      <c r="W98" s="2"/>
      <c r="X98" s="2"/>
      <c r="Y98" s="2">
        <v>58</v>
      </c>
      <c r="Z98" s="2"/>
      <c r="AA98" s="2"/>
      <c r="AB98" s="2"/>
      <c r="AC98" s="2"/>
      <c r="AD98" s="2"/>
      <c r="AE98" s="2"/>
      <c r="AF98" s="2"/>
      <c r="AG98" s="2"/>
    </row>
    <row r="99" spans="1:33" ht="23" hidden="1">
      <c r="A99" s="34"/>
      <c r="B99" s="300" t="str">
        <f>IF(ISERROR(AA$21),"",AA$21&amp;"")&amp;P$63</f>
        <v/>
      </c>
      <c r="C99" s="6"/>
      <c r="D99" s="439"/>
      <c r="E99" s="440"/>
      <c r="F99" s="40"/>
      <c r="G99" s="402"/>
      <c r="H99" s="403"/>
      <c r="I99" s="403"/>
      <c r="J99" s="404"/>
      <c r="K99" s="29"/>
      <c r="L99" s="105"/>
      <c r="P99" s="2"/>
      <c r="Q99" s="2"/>
      <c r="R99" s="2"/>
      <c r="S99" s="2"/>
      <c r="T99" s="2"/>
      <c r="U99" s="2"/>
      <c r="V99" s="2"/>
      <c r="W99" s="2"/>
      <c r="X99" s="2"/>
      <c r="Y99" s="2">
        <v>58</v>
      </c>
      <c r="Z99" s="2"/>
      <c r="AA99" s="2"/>
      <c r="AB99" s="2"/>
      <c r="AC99" s="2"/>
      <c r="AD99" s="2"/>
      <c r="AE99" s="2"/>
      <c r="AF99" s="2"/>
      <c r="AG99" s="2"/>
    </row>
    <row r="100" spans="1:33" ht="1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5">
      <c r="A101" s="34"/>
      <c r="B101" s="37" t="str">
        <f ca="1">OFFSET(L!$C$1,MATCH("Declaration"&amp;ADDRESS(ROW(),COLUMN(),4),L!$A:$A,0)-1,SL,,)&amp;Q53</f>
        <v>7）貴社は受領した該当する全ての製錬業者又は加工業者情報を、この申告で報告していますか？(*)</v>
      </c>
      <c r="C101" s="6"/>
      <c r="D101" s="441" t="str">
        <f ca="1">D29</f>
        <v>回答</v>
      </c>
      <c r="E101" s="441"/>
      <c r="F101" s="14"/>
      <c r="G101" s="37" t="str">
        <f ca="1">G29</f>
        <v>備考</v>
      </c>
      <c r="H101" s="453" t="str">
        <f>IF(Q115="(*)","Click here to enter smelter names","")</f>
        <v/>
      </c>
      <c r="I101" s="453"/>
      <c r="J101" s="453"/>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3">
      <c r="A102" s="34"/>
      <c r="B102" s="300" t="str">
        <f>IF(ISERROR(AA$12),"",AA$12&amp;"")&amp;P$54</f>
        <v>Cobalt</v>
      </c>
      <c r="C102" s="28"/>
      <c r="D102" s="439"/>
      <c r="E102" s="440"/>
      <c r="F102" s="41"/>
      <c r="G102" s="402"/>
      <c r="H102" s="403"/>
      <c r="I102" s="403"/>
      <c r="J102" s="404"/>
      <c r="K102" s="29"/>
      <c r="L102" s="105"/>
      <c r="P102" s="2"/>
      <c r="Q102" s="2"/>
      <c r="R102" s="2"/>
      <c r="S102" s="2"/>
      <c r="T102" s="2"/>
      <c r="U102" s="2"/>
      <c r="V102" s="2"/>
      <c r="W102" s="2"/>
      <c r="X102" s="2"/>
      <c r="Y102" s="2">
        <v>62</v>
      </c>
      <c r="Z102" s="2"/>
      <c r="AA102" s="2"/>
      <c r="AB102" s="2"/>
      <c r="AC102" s="2"/>
      <c r="AD102" s="2"/>
      <c r="AE102" s="2"/>
      <c r="AF102" s="2"/>
      <c r="AG102" s="2"/>
    </row>
    <row r="103" spans="1:33" ht="23">
      <c r="A103" s="34"/>
      <c r="B103" s="300" t="str">
        <f>IF(ISERROR(AA$13),"",AA$13&amp;"")&amp;P$55</f>
        <v>Copper</v>
      </c>
      <c r="C103" s="28"/>
      <c r="D103" s="439"/>
      <c r="E103" s="440"/>
      <c r="F103" s="41"/>
      <c r="G103" s="402"/>
      <c r="H103" s="403"/>
      <c r="I103" s="403"/>
      <c r="J103" s="404"/>
      <c r="K103" s="29"/>
      <c r="L103" s="105"/>
      <c r="P103" s="2"/>
      <c r="Q103" s="2"/>
      <c r="R103" s="2"/>
      <c r="S103" s="2"/>
      <c r="T103" s="2"/>
      <c r="U103" s="2"/>
      <c r="V103" s="2"/>
      <c r="W103" s="2"/>
      <c r="X103" s="2"/>
      <c r="Y103" s="2">
        <v>63</v>
      </c>
      <c r="Z103" s="2"/>
      <c r="AA103" s="2"/>
      <c r="AB103" s="2"/>
      <c r="AC103" s="2"/>
      <c r="AD103" s="2"/>
      <c r="AE103" s="2"/>
      <c r="AF103" s="2"/>
      <c r="AG103" s="2"/>
    </row>
    <row r="104" spans="1:33" ht="23">
      <c r="A104" s="34"/>
      <c r="B104" s="300" t="str">
        <f>IF(ISERROR(AA$14),"",AA$14&amp;"")&amp;P$56</f>
        <v>Graphite</v>
      </c>
      <c r="C104" s="28"/>
      <c r="D104" s="439"/>
      <c r="E104" s="440"/>
      <c r="F104" s="41"/>
      <c r="G104" s="402"/>
      <c r="H104" s="403"/>
      <c r="I104" s="403"/>
      <c r="J104" s="404"/>
      <c r="K104" s="29"/>
      <c r="L104" s="105"/>
      <c r="P104" s="2"/>
      <c r="Q104" s="2"/>
      <c r="R104" s="2"/>
      <c r="S104" s="2"/>
      <c r="T104" s="2"/>
      <c r="U104" s="2"/>
      <c r="V104" s="2"/>
      <c r="W104" s="2"/>
      <c r="X104" s="2"/>
      <c r="Y104" s="2">
        <v>64</v>
      </c>
      <c r="Z104" s="2"/>
      <c r="AA104" s="2"/>
      <c r="AB104" s="2"/>
      <c r="AC104" s="2"/>
      <c r="AD104" s="2"/>
      <c r="AE104" s="2"/>
      <c r="AF104" s="2"/>
      <c r="AG104" s="2"/>
    </row>
    <row r="105" spans="1:33" ht="23">
      <c r="A105" s="34"/>
      <c r="B105" s="300" t="str">
        <f>IF(ISERROR(AA$15),"",AA$15&amp;"")&amp;P$57</f>
        <v>Lithium</v>
      </c>
      <c r="C105" s="28"/>
      <c r="D105" s="439"/>
      <c r="E105" s="440"/>
      <c r="F105" s="41"/>
      <c r="G105" s="402"/>
      <c r="H105" s="403"/>
      <c r="I105" s="403"/>
      <c r="J105" s="404"/>
      <c r="K105" s="29"/>
      <c r="L105" s="105"/>
      <c r="P105" s="2"/>
      <c r="Q105" s="2"/>
      <c r="R105" s="2"/>
      <c r="S105" s="2"/>
      <c r="T105" s="2"/>
      <c r="U105" s="2"/>
      <c r="V105" s="2"/>
      <c r="W105" s="2"/>
      <c r="X105" s="2"/>
      <c r="Y105" s="2">
        <v>64</v>
      </c>
      <c r="Z105" s="2"/>
      <c r="AA105" s="2"/>
      <c r="AB105" s="2"/>
      <c r="AC105" s="2"/>
      <c r="AD105" s="2"/>
      <c r="AE105" s="2"/>
      <c r="AF105" s="2"/>
      <c r="AG105" s="2"/>
    </row>
    <row r="106" spans="1:33" ht="23">
      <c r="A106" s="34"/>
      <c r="B106" s="300" t="str">
        <f>IF(ISERROR(AA$16),"",AA$16&amp;"")&amp;P$58</f>
        <v>Mica</v>
      </c>
      <c r="C106" s="28"/>
      <c r="D106" s="439"/>
      <c r="E106" s="440"/>
      <c r="F106" s="41"/>
      <c r="G106" s="402"/>
      <c r="H106" s="403"/>
      <c r="I106" s="403"/>
      <c r="J106" s="404"/>
      <c r="K106" s="29"/>
      <c r="L106" s="105"/>
      <c r="P106" s="2"/>
      <c r="Q106" s="2"/>
      <c r="R106" s="2"/>
      <c r="S106" s="2"/>
      <c r="T106" s="2"/>
      <c r="U106" s="2"/>
      <c r="V106" s="2"/>
      <c r="W106" s="2"/>
      <c r="X106" s="2"/>
      <c r="Y106" s="2">
        <v>64</v>
      </c>
      <c r="Z106" s="2"/>
      <c r="AA106" s="2"/>
      <c r="AB106" s="2"/>
      <c r="AC106" s="2"/>
      <c r="AD106" s="2"/>
      <c r="AE106" s="2"/>
      <c r="AF106" s="2"/>
      <c r="AG106" s="2"/>
    </row>
    <row r="107" spans="1:33" ht="23">
      <c r="A107" s="34"/>
      <c r="B107" s="300" t="str">
        <f>IF(ISERROR(AA$17),"",AA$17&amp;"")&amp;P$59</f>
        <v>Nickel</v>
      </c>
      <c r="C107" s="28"/>
      <c r="D107" s="439"/>
      <c r="E107" s="440"/>
      <c r="F107" s="41"/>
      <c r="G107" s="402"/>
      <c r="H107" s="403"/>
      <c r="I107" s="403"/>
      <c r="J107" s="404"/>
      <c r="K107" s="29"/>
      <c r="L107" s="105"/>
      <c r="P107" s="2"/>
      <c r="Q107" s="2"/>
      <c r="R107" s="2"/>
      <c r="S107" s="2"/>
      <c r="T107" s="2"/>
      <c r="U107" s="2"/>
      <c r="V107" s="2"/>
      <c r="W107" s="2"/>
      <c r="X107" s="2"/>
      <c r="Y107" s="2">
        <v>64</v>
      </c>
      <c r="Z107" s="2"/>
      <c r="AA107" s="2"/>
      <c r="AB107" s="2"/>
      <c r="AC107" s="2"/>
      <c r="AD107" s="2"/>
      <c r="AE107" s="2"/>
      <c r="AF107" s="2"/>
      <c r="AG107" s="2"/>
    </row>
    <row r="108" spans="1:33" ht="23" hidden="1">
      <c r="A108" s="34"/>
      <c r="B108" s="300" t="str">
        <f>IF(ISERROR(AA$18),"",AA$18&amp;"")&amp;P$60</f>
        <v/>
      </c>
      <c r="C108" s="28"/>
      <c r="D108" s="439"/>
      <c r="E108" s="440"/>
      <c r="F108" s="41"/>
      <c r="G108" s="402"/>
      <c r="H108" s="403"/>
      <c r="I108" s="403"/>
      <c r="J108" s="404"/>
      <c r="K108" s="29"/>
      <c r="L108" s="105"/>
      <c r="P108" s="2"/>
      <c r="Q108" s="2"/>
      <c r="R108" s="2"/>
      <c r="S108" s="2"/>
      <c r="T108" s="2"/>
      <c r="U108" s="2"/>
      <c r="V108" s="2"/>
      <c r="W108" s="2"/>
      <c r="X108" s="2"/>
      <c r="Y108" s="2">
        <v>64</v>
      </c>
      <c r="Z108" s="2"/>
      <c r="AA108" s="2"/>
      <c r="AB108" s="2"/>
      <c r="AC108" s="2"/>
      <c r="AD108" s="2"/>
      <c r="AE108" s="2"/>
      <c r="AF108" s="2"/>
      <c r="AG108" s="2"/>
    </row>
    <row r="109" spans="1:33" ht="23" hidden="1">
      <c r="A109" s="34"/>
      <c r="B109" s="300" t="str">
        <f>IF(ISERROR(AA$19),"",AA$19&amp;"")&amp;P$61</f>
        <v/>
      </c>
      <c r="C109" s="28"/>
      <c r="D109" s="439"/>
      <c r="E109" s="440"/>
      <c r="F109" s="41"/>
      <c r="G109" s="402"/>
      <c r="H109" s="403"/>
      <c r="I109" s="403"/>
      <c r="J109" s="404"/>
      <c r="K109" s="29"/>
      <c r="L109" s="105"/>
      <c r="P109" s="2"/>
      <c r="Q109" s="2"/>
      <c r="R109" s="2"/>
      <c r="S109" s="2"/>
      <c r="T109" s="2"/>
      <c r="U109" s="2"/>
      <c r="V109" s="2"/>
      <c r="W109" s="2"/>
      <c r="X109" s="2"/>
      <c r="Y109" s="2">
        <v>64</v>
      </c>
      <c r="Z109" s="2"/>
      <c r="AA109" s="2"/>
      <c r="AB109" s="2"/>
      <c r="AC109" s="2"/>
      <c r="AD109" s="2"/>
      <c r="AE109" s="2"/>
      <c r="AF109" s="2"/>
      <c r="AG109" s="2"/>
    </row>
    <row r="110" spans="1:33" ht="23" hidden="1">
      <c r="A110" s="34"/>
      <c r="B110" s="300" t="str">
        <f>IF(ISERROR(AA$20),"",AA$20&amp;"")&amp;P$62</f>
        <v/>
      </c>
      <c r="C110" s="28"/>
      <c r="D110" s="439"/>
      <c r="E110" s="440"/>
      <c r="F110" s="41"/>
      <c r="G110" s="402"/>
      <c r="H110" s="403"/>
      <c r="I110" s="403"/>
      <c r="J110" s="404"/>
      <c r="K110" s="29"/>
      <c r="L110" s="105"/>
      <c r="P110" s="2"/>
      <c r="Q110" s="2"/>
      <c r="R110" s="2"/>
      <c r="S110" s="2"/>
      <c r="T110" s="2"/>
      <c r="U110" s="2"/>
      <c r="V110" s="2"/>
      <c r="W110" s="2"/>
      <c r="X110" s="2"/>
      <c r="Y110" s="2">
        <v>64</v>
      </c>
      <c r="Z110" s="2"/>
      <c r="AA110" s="2"/>
      <c r="AB110" s="2"/>
      <c r="AC110" s="2"/>
      <c r="AD110" s="2"/>
      <c r="AE110" s="2"/>
      <c r="AF110" s="2"/>
      <c r="AG110" s="2"/>
    </row>
    <row r="111" spans="1:33" ht="23" hidden="1">
      <c r="A111" s="31"/>
      <c r="B111" s="300" t="str">
        <f>IF(ISERROR(AA$21),"",AA$21&amp;"")&amp;P$63</f>
        <v/>
      </c>
      <c r="C111" s="42"/>
      <c r="D111" s="439"/>
      <c r="E111" s="440"/>
      <c r="F111" s="43"/>
      <c r="G111" s="402"/>
      <c r="H111" s="403"/>
      <c r="I111" s="403"/>
      <c r="J111" s="404"/>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4" t="str">
        <f ca="1">OFFSET(L!$C$1,MATCH("Declaration"&amp;ADDRESS(ROW(),COLUMN(),4),L!$A:$A,0)-1,SL,,)</f>
        <v>会社レベルで以下の質問にお答えください</v>
      </c>
      <c r="C113" s="454"/>
      <c r="D113" s="454"/>
      <c r="E113" s="454"/>
      <c r="F113" s="454"/>
      <c r="G113" s="454"/>
      <c r="H113" s="454"/>
      <c r="I113" s="454"/>
      <c r="J113" s="454"/>
      <c r="K113" s="29"/>
      <c r="L113" s="102"/>
      <c r="P113" s="2"/>
      <c r="Q113" s="2"/>
      <c r="R113" s="2"/>
      <c r="S113" s="2"/>
      <c r="T113" s="2"/>
      <c r="U113" s="2"/>
      <c r="V113" s="2"/>
      <c r="W113" s="2"/>
      <c r="X113" s="2"/>
      <c r="Y113" s="2">
        <v>67</v>
      </c>
      <c r="Z113" s="2"/>
      <c r="AA113" s="2"/>
      <c r="AB113" s="2"/>
      <c r="AC113" s="2"/>
      <c r="AD113" s="2"/>
      <c r="AE113" s="2"/>
      <c r="AF113" s="2"/>
      <c r="AG113" s="2"/>
    </row>
    <row r="114" spans="1:33" ht="15">
      <c r="A114" s="44"/>
      <c r="B114" s="45" t="str">
        <f ca="1">OFFSET(L!$C$1,MATCH("Declaration"&amp;ADDRESS(ROW(),COLUMN(),4),L!$A:$A,0)-1,SL,,)</f>
        <v>質問</v>
      </c>
      <c r="C114" s="71"/>
      <c r="D114" s="450" t="str">
        <f ca="1">D29</f>
        <v>回答</v>
      </c>
      <c r="E114" s="450"/>
      <c r="F114" s="46"/>
      <c r="G114" s="450" t="str">
        <f ca="1">G29</f>
        <v>備考</v>
      </c>
      <c r="H114" s="450" t="e">
        <f>HLOOKUP(SL,LT,$O114,0)</f>
        <v>#NAME?</v>
      </c>
      <c r="I114" s="450"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責任ある鉱物調達方針を確定しましたか？</v>
      </c>
      <c r="C115" s="50"/>
      <c r="D115" s="439" t="s">
        <v>25</v>
      </c>
      <c r="E115" s="440"/>
      <c r="F115" s="50"/>
      <c r="G115" s="402"/>
      <c r="H115" s="403"/>
      <c r="I115" s="403"/>
      <c r="J115" s="404"/>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
      <c r="A116" s="34"/>
      <c r="B116" s="51"/>
      <c r="C116" s="8"/>
      <c r="D116" s="355"/>
      <c r="E116" s="355"/>
      <c r="F116" s="8"/>
      <c r="G116" s="455"/>
      <c r="H116" s="455"/>
      <c r="I116" s="455"/>
      <c r="J116" s="455"/>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B.その責任ある鉱物調達方針は、貴社のホームページで閲覧できますか？（回答が「はい」の場合、その方針が掲載されているURLをコメント欄に記入する）</v>
      </c>
      <c r="C117" s="50"/>
      <c r="D117" s="439" t="s">
        <v>25</v>
      </c>
      <c r="E117" s="440"/>
      <c r="F117" s="50"/>
      <c r="G117" s="456" t="s">
        <v>20066</v>
      </c>
      <c r="H117" s="457"/>
      <c r="I117" s="457"/>
      <c r="J117" s="458"/>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 xml:space="preserve">C.  貴社は直接サプライヤーに対し、独立民間監査会社の監査プログラムによりデュー・デリジェンス業務が認証された製錬業者から対象となる鉱物を調達することを要求していますか？ </v>
      </c>
      <c r="C119" s="230"/>
      <c r="D119" s="459"/>
      <c r="E119" s="459"/>
      <c r="F119" s="233"/>
      <c r="G119" s="460"/>
      <c r="H119" s="460"/>
      <c r="I119" s="460"/>
      <c r="J119" s="460"/>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
      <c r="A120" s="34"/>
      <c r="B120" s="300" t="str">
        <f>IF(ISERROR(AA$12),"",AA$12&amp;"")&amp;P$54</f>
        <v>Cobalt</v>
      </c>
      <c r="C120" s="294"/>
      <c r="D120" s="439" t="s">
        <v>25</v>
      </c>
      <c r="E120" s="440"/>
      <c r="F120" s="8"/>
      <c r="G120" s="402"/>
      <c r="H120" s="403"/>
      <c r="I120" s="403"/>
      <c r="J120" s="404"/>
      <c r="K120" s="29"/>
      <c r="L120" s="101"/>
      <c r="M120" s="100"/>
      <c r="P120" s="2"/>
      <c r="Q120" s="2"/>
      <c r="R120" s="2"/>
      <c r="S120" s="2"/>
      <c r="T120" s="2"/>
      <c r="U120" s="2"/>
      <c r="V120" s="2"/>
      <c r="W120" s="2"/>
      <c r="X120" s="2"/>
      <c r="Y120" s="2"/>
      <c r="Z120" s="2"/>
      <c r="AA120" s="2"/>
      <c r="AB120" s="2"/>
      <c r="AC120" s="2"/>
      <c r="AD120" s="2"/>
      <c r="AE120" s="2"/>
      <c r="AF120" s="2"/>
      <c r="AG120" s="2"/>
    </row>
    <row r="121" spans="1:33" ht="15">
      <c r="A121" s="34"/>
      <c r="B121" s="300" t="str">
        <f>IF(ISERROR(AA$13),"",AA$13&amp;"")&amp;P$55</f>
        <v>Copper</v>
      </c>
      <c r="C121" s="294"/>
      <c r="D121" s="439" t="s">
        <v>25</v>
      </c>
      <c r="E121" s="440"/>
      <c r="F121" s="8"/>
      <c r="G121" s="402"/>
      <c r="H121" s="403"/>
      <c r="I121" s="403"/>
      <c r="J121" s="404"/>
      <c r="K121" s="29"/>
      <c r="L121" s="101"/>
      <c r="M121" s="100"/>
      <c r="P121" s="2"/>
      <c r="Q121" s="2"/>
      <c r="R121" s="2"/>
      <c r="S121" s="2"/>
      <c r="T121" s="2"/>
      <c r="U121" s="2"/>
      <c r="V121" s="2"/>
      <c r="W121" s="2"/>
      <c r="X121" s="2"/>
      <c r="Y121" s="2"/>
      <c r="Z121" s="2"/>
      <c r="AA121" s="2"/>
      <c r="AB121" s="2"/>
      <c r="AC121" s="2"/>
      <c r="AD121" s="2"/>
      <c r="AE121" s="2"/>
      <c r="AF121" s="2"/>
      <c r="AG121" s="2"/>
    </row>
    <row r="122" spans="1:33" ht="15">
      <c r="A122" s="34"/>
      <c r="B122" s="300" t="str">
        <f>IF(ISERROR(AA$14),"",AA$14&amp;"")&amp;P$56</f>
        <v>Graphite</v>
      </c>
      <c r="C122" s="6"/>
      <c r="D122" s="439" t="s">
        <v>25</v>
      </c>
      <c r="E122" s="440"/>
      <c r="F122" s="8"/>
      <c r="G122" s="402"/>
      <c r="H122" s="403"/>
      <c r="I122" s="403"/>
      <c r="J122" s="404"/>
      <c r="K122" s="29"/>
      <c r="L122" s="101"/>
      <c r="M122" s="100"/>
      <c r="P122" s="2"/>
      <c r="Q122" s="2"/>
      <c r="R122" s="2"/>
      <c r="S122" s="2"/>
      <c r="T122" s="2"/>
      <c r="U122" s="2"/>
      <c r="V122" s="2"/>
      <c r="W122" s="2"/>
      <c r="X122" s="2"/>
      <c r="Y122" s="2"/>
      <c r="Z122" s="2"/>
      <c r="AA122" s="2"/>
      <c r="AB122" s="2"/>
      <c r="AC122" s="2"/>
      <c r="AD122" s="2"/>
      <c r="AE122" s="2"/>
      <c r="AF122" s="2"/>
      <c r="AG122" s="2"/>
    </row>
    <row r="123" spans="1:33" ht="15">
      <c r="A123" s="34"/>
      <c r="B123" s="300" t="str">
        <f>IF(ISERROR(AA$15),"",AA$15&amp;"")&amp;P$57</f>
        <v>Lithium</v>
      </c>
      <c r="C123" s="6"/>
      <c r="D123" s="439" t="s">
        <v>25</v>
      </c>
      <c r="E123" s="440"/>
      <c r="F123" s="8"/>
      <c r="G123" s="402"/>
      <c r="H123" s="403"/>
      <c r="I123" s="403"/>
      <c r="J123" s="404"/>
      <c r="K123" s="29"/>
      <c r="L123" s="101"/>
      <c r="M123" s="100"/>
      <c r="P123" s="2"/>
      <c r="Q123" s="2"/>
      <c r="R123" s="2"/>
      <c r="S123" s="2"/>
      <c r="T123" s="2"/>
      <c r="U123" s="2"/>
      <c r="V123" s="2"/>
      <c r="W123" s="2"/>
      <c r="X123" s="2"/>
      <c r="Y123" s="2"/>
      <c r="Z123" s="2"/>
      <c r="AA123" s="2"/>
      <c r="AB123" s="2"/>
      <c r="AC123" s="2"/>
      <c r="AD123" s="2"/>
      <c r="AE123" s="2"/>
      <c r="AF123" s="2"/>
      <c r="AG123" s="2"/>
    </row>
    <row r="124" spans="1:33" ht="15">
      <c r="A124" s="34"/>
      <c r="B124" s="300" t="str">
        <f>IF(ISERROR(AA$16),"",AA$16&amp;"")&amp;P$58</f>
        <v>Mica</v>
      </c>
      <c r="C124" s="6"/>
      <c r="D124" s="439" t="s">
        <v>25</v>
      </c>
      <c r="E124" s="440"/>
      <c r="F124" s="8"/>
      <c r="G124" s="402"/>
      <c r="H124" s="403"/>
      <c r="I124" s="403"/>
      <c r="J124" s="404"/>
      <c r="K124" s="29"/>
      <c r="L124" s="101"/>
      <c r="M124" s="100"/>
      <c r="P124" s="2"/>
      <c r="Q124" s="2"/>
      <c r="R124" s="2"/>
      <c r="S124" s="2"/>
      <c r="T124" s="2"/>
      <c r="U124" s="2"/>
      <c r="V124" s="2"/>
      <c r="W124" s="2"/>
      <c r="X124" s="2"/>
      <c r="Y124" s="2"/>
      <c r="Z124" s="2"/>
      <c r="AA124" s="2"/>
      <c r="AB124" s="2"/>
      <c r="AC124" s="2"/>
      <c r="AD124" s="2"/>
      <c r="AE124" s="2"/>
      <c r="AF124" s="2"/>
      <c r="AG124" s="2"/>
    </row>
    <row r="125" spans="1:33" ht="15">
      <c r="A125" s="34"/>
      <c r="B125" s="300" t="str">
        <f>IF(ISERROR(AA$17),"",AA$17&amp;"")&amp;P$59</f>
        <v>Nickel</v>
      </c>
      <c r="C125" s="6"/>
      <c r="D125" s="439" t="s">
        <v>25</v>
      </c>
      <c r="E125" s="440"/>
      <c r="F125" s="8"/>
      <c r="G125" s="402"/>
      <c r="H125" s="403"/>
      <c r="I125" s="403"/>
      <c r="J125" s="404"/>
      <c r="K125" s="29"/>
      <c r="L125" s="101"/>
      <c r="M125" s="100"/>
      <c r="P125" s="2"/>
      <c r="Q125" s="2"/>
      <c r="R125" s="2"/>
      <c r="S125" s="2"/>
      <c r="T125" s="2"/>
      <c r="U125" s="2"/>
      <c r="V125" s="2"/>
      <c r="W125" s="2"/>
      <c r="X125" s="2"/>
      <c r="Y125" s="2"/>
      <c r="Z125" s="2"/>
      <c r="AA125" s="2"/>
      <c r="AB125" s="2"/>
      <c r="AC125" s="2"/>
      <c r="AD125" s="2"/>
      <c r="AE125" s="2"/>
      <c r="AF125" s="2"/>
      <c r="AG125" s="2"/>
    </row>
    <row r="126" spans="1:33" ht="15" hidden="1">
      <c r="A126" s="34"/>
      <c r="B126" s="300" t="str">
        <f>IF(ISERROR(AA$18),"",AA$18&amp;"")&amp;P$60</f>
        <v/>
      </c>
      <c r="C126" s="6"/>
      <c r="D126" s="439" t="s">
        <v>25</v>
      </c>
      <c r="E126" s="440"/>
      <c r="F126" s="8"/>
      <c r="G126" s="402"/>
      <c r="H126" s="403"/>
      <c r="I126" s="403"/>
      <c r="J126" s="404"/>
      <c r="K126" s="29"/>
      <c r="L126" s="101"/>
      <c r="M126" s="100"/>
      <c r="P126" s="2"/>
      <c r="Q126" s="2"/>
      <c r="R126" s="2"/>
      <c r="S126" s="2"/>
      <c r="T126" s="2"/>
      <c r="U126" s="2"/>
      <c r="V126" s="2"/>
      <c r="W126" s="2"/>
      <c r="X126" s="2"/>
      <c r="Y126" s="2"/>
      <c r="Z126" s="2"/>
      <c r="AA126" s="2"/>
      <c r="AB126" s="2"/>
      <c r="AC126" s="2"/>
      <c r="AD126" s="2"/>
      <c r="AE126" s="2"/>
      <c r="AF126" s="2"/>
      <c r="AG126" s="2"/>
    </row>
    <row r="127" spans="1:33" ht="15" hidden="1">
      <c r="A127" s="34"/>
      <c r="B127" s="300" t="str">
        <f>IF(ISERROR(AA$19),"",AA$19&amp;"")&amp;P$61</f>
        <v/>
      </c>
      <c r="C127" s="6"/>
      <c r="D127" s="439" t="s">
        <v>25</v>
      </c>
      <c r="E127" s="440"/>
      <c r="F127" s="8"/>
      <c r="G127" s="402"/>
      <c r="H127" s="403"/>
      <c r="I127" s="403"/>
      <c r="J127" s="404"/>
      <c r="K127" s="29"/>
      <c r="L127" s="101"/>
      <c r="M127" s="100"/>
      <c r="P127" s="2"/>
      <c r="Q127" s="2"/>
      <c r="R127" s="2"/>
      <c r="S127" s="2"/>
      <c r="T127" s="2"/>
      <c r="U127" s="2"/>
      <c r="V127" s="2"/>
      <c r="W127" s="2"/>
      <c r="X127" s="2"/>
      <c r="Y127" s="2"/>
      <c r="Z127" s="2"/>
      <c r="AA127" s="2"/>
      <c r="AB127" s="2"/>
      <c r="AC127" s="2"/>
      <c r="AD127" s="2"/>
      <c r="AE127" s="2"/>
      <c r="AF127" s="2"/>
      <c r="AG127" s="2"/>
    </row>
    <row r="128" spans="1:33" ht="15" hidden="1">
      <c r="A128" s="34"/>
      <c r="B128" s="300" t="str">
        <f>IF(ISERROR(AA$20),"",AA$20&amp;"")&amp;P$62</f>
        <v/>
      </c>
      <c r="C128" s="6"/>
      <c r="D128" s="439" t="s">
        <v>25</v>
      </c>
      <c r="E128" s="440"/>
      <c r="F128" s="8"/>
      <c r="G128" s="402"/>
      <c r="H128" s="403"/>
      <c r="I128" s="403"/>
      <c r="J128" s="404"/>
      <c r="K128" s="29"/>
      <c r="L128" s="101"/>
      <c r="M128" s="100"/>
      <c r="P128" s="2"/>
      <c r="Q128" s="2"/>
      <c r="R128" s="2"/>
      <c r="S128" s="2"/>
      <c r="T128" s="2"/>
      <c r="U128" s="2"/>
      <c r="V128" s="2"/>
      <c r="W128" s="2"/>
      <c r="X128" s="2"/>
      <c r="Y128" s="2"/>
      <c r="Z128" s="2"/>
      <c r="AA128" s="2"/>
      <c r="AB128" s="2"/>
      <c r="AC128" s="2"/>
      <c r="AD128" s="2"/>
      <c r="AE128" s="2"/>
      <c r="AF128" s="2"/>
      <c r="AG128" s="2"/>
    </row>
    <row r="129" spans="1:33" ht="15" hidden="1">
      <c r="A129" s="34"/>
      <c r="B129" s="300" t="str">
        <f>IF(ISERROR(AA$21),"",AA$21&amp;"")&amp;P$63</f>
        <v/>
      </c>
      <c r="C129" s="6"/>
      <c r="D129" s="439" t="s">
        <v>25</v>
      </c>
      <c r="E129" s="440"/>
      <c r="F129" s="8"/>
      <c r="G129" s="402"/>
      <c r="H129" s="403"/>
      <c r="I129" s="403"/>
      <c r="J129" s="404"/>
      <c r="K129" s="29"/>
      <c r="L129" s="101"/>
      <c r="M129" s="100"/>
      <c r="P129" s="2"/>
      <c r="Q129" s="2"/>
      <c r="R129" s="2"/>
      <c r="S129" s="2"/>
      <c r="T129" s="2"/>
      <c r="U129" s="2"/>
      <c r="V129" s="2"/>
      <c r="W129" s="2"/>
      <c r="X129" s="2"/>
      <c r="Y129" s="2"/>
      <c r="Z129" s="2"/>
      <c r="AA129" s="2"/>
      <c r="AB129" s="2"/>
      <c r="AC129" s="2"/>
      <c r="AD129" s="2"/>
      <c r="AE129" s="2"/>
      <c r="AF129" s="2"/>
      <c r="AG129" s="2"/>
    </row>
    <row r="130" spans="1:33" ht="1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 xml:space="preserve">D. 責任ある鉱物調達のためのデュー・ディリジェンス対策を実施していますか？
</v>
      </c>
      <c r="C131" s="50"/>
      <c r="D131" s="439" t="s">
        <v>25</v>
      </c>
      <c r="E131" s="440"/>
      <c r="F131" s="50"/>
      <c r="G131" s="402"/>
      <c r="H131" s="403"/>
      <c r="I131" s="403"/>
      <c r="J131" s="404"/>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E.貴社は関連するサプライヤーの対象となる鉱物サプライチェーン調査を行っていますか？</v>
      </c>
      <c r="C133" s="50"/>
      <c r="D133" s="464" t="s">
        <v>32</v>
      </c>
      <c r="E133" s="465"/>
      <c r="F133" s="50"/>
      <c r="G133" s="402"/>
      <c r="H133" s="403"/>
      <c r="I133" s="403"/>
      <c r="J133" s="404"/>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
      <c r="A134" s="34"/>
      <c r="B134" s="54"/>
      <c r="C134" s="8"/>
      <c r="D134" s="355"/>
      <c r="E134" s="355"/>
      <c r="F134" s="9"/>
      <c r="G134" s="455"/>
      <c r="H134" s="455"/>
      <c r="I134" s="455"/>
      <c r="J134" s="455"/>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F.サプライヤーからのデュー・ディリジェンス情報を貴社の期待を基に検証していますか？</v>
      </c>
      <c r="C135" s="50"/>
      <c r="D135" s="439" t="s">
        <v>25</v>
      </c>
      <c r="E135" s="440"/>
      <c r="F135" s="50"/>
      <c r="G135" s="402"/>
      <c r="H135" s="403"/>
      <c r="I135" s="403"/>
      <c r="J135" s="404"/>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
      <c r="A136" s="34"/>
      <c r="B136" s="51"/>
      <c r="C136" s="8"/>
      <c r="D136" s="355"/>
      <c r="E136" s="355"/>
      <c r="F136" s="9"/>
      <c r="G136" s="466"/>
      <c r="H136" s="466"/>
      <c r="I136" s="466"/>
      <c r="J136" s="466"/>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貴社の検証プロセスには是正措置管理が含まれていますか？</v>
      </c>
      <c r="C137" s="50"/>
      <c r="D137" s="439" t="s">
        <v>22</v>
      </c>
      <c r="E137" s="440"/>
      <c r="F137" s="50"/>
      <c r="G137" s="402"/>
      <c r="H137" s="403"/>
      <c r="I137" s="403"/>
      <c r="J137" s="404"/>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61" t="str">
        <f>IF(OR($D$8="",$I$3=""),"","Click here to check required fields completion")</f>
        <v/>
      </c>
      <c r="C138" s="461"/>
      <c r="D138" s="461"/>
      <c r="E138" s="461"/>
      <c r="F138" s="461"/>
      <c r="G138" s="461"/>
      <c r="H138" s="461"/>
      <c r="I138" s="461"/>
      <c r="J138" s="461"/>
      <c r="K138" s="29"/>
      <c r="L138" s="102"/>
      <c r="P138" s="2"/>
      <c r="Q138" s="2"/>
      <c r="R138" s="2"/>
      <c r="S138" s="2"/>
      <c r="T138" s="2"/>
      <c r="U138" s="2"/>
      <c r="V138" s="2"/>
      <c r="W138" s="2"/>
      <c r="X138" s="2"/>
      <c r="Y138" s="2">
        <v>86</v>
      </c>
      <c r="Z138" s="2"/>
      <c r="AA138" s="2"/>
      <c r="AB138" s="2"/>
      <c r="AC138" s="2"/>
      <c r="AD138" s="2"/>
      <c r="AE138" s="2"/>
      <c r="AF138" s="2"/>
      <c r="AG138" s="2"/>
    </row>
    <row r="139" spans="1:33" ht="15.5" thickBot="1">
      <c r="A139" s="462" t="str">
        <f ca="1">OFFSET(L!$C$1,MATCH("General"&amp;"Cpy",L!$A:$A,0)-1,SL,,)</f>
        <v>© 2025 Responsible Minerals Initiative. 無断転載・再配布禁止。</v>
      </c>
      <c r="B139" s="463"/>
      <c r="C139" s="463"/>
      <c r="D139" s="463"/>
      <c r="E139" s="463"/>
      <c r="F139" s="463"/>
      <c r="G139" s="463"/>
      <c r="H139" s="463"/>
      <c r="I139" s="463"/>
      <c r="J139" s="463"/>
      <c r="K139" s="55"/>
      <c r="L139" s="102"/>
      <c r="P139" s="2"/>
      <c r="Q139" s="2"/>
      <c r="R139" s="2"/>
      <c r="S139" s="2"/>
      <c r="T139" s="2"/>
      <c r="U139" s="2"/>
      <c r="V139" s="2"/>
      <c r="W139" s="2"/>
      <c r="X139" s="2"/>
      <c r="Y139" s="2">
        <v>87</v>
      </c>
      <c r="Z139" s="2"/>
      <c r="AA139" s="2"/>
      <c r="AB139" s="2"/>
      <c r="AC139" s="2"/>
      <c r="AD139" s="2"/>
      <c r="AE139" s="2"/>
      <c r="AF139" s="2"/>
      <c r="AG139" s="2"/>
    </row>
    <row r="140" spans="1:33" ht="15.5" thickTop="1">
      <c r="L140" s="95"/>
      <c r="P140" s="2"/>
      <c r="Q140" s="2"/>
      <c r="R140" s="2"/>
      <c r="S140" s="2"/>
      <c r="T140" s="2"/>
      <c r="U140" s="2"/>
      <c r="V140" s="2"/>
      <c r="W140" s="2"/>
      <c r="X140" s="2"/>
      <c r="Y140" s="2"/>
      <c r="Z140" s="2"/>
      <c r="AA140" s="2"/>
      <c r="AB140" s="2"/>
      <c r="AC140" s="2"/>
      <c r="AD140" s="2"/>
      <c r="AE140" s="2"/>
      <c r="AF140" s="2"/>
      <c r="AG140" s="2"/>
    </row>
    <row r="141" spans="1:33" ht="17.5" customHeight="1"/>
    <row r="142" spans="1:33" ht="17.5" hidden="1" customHeight="1">
      <c r="B142" s="369"/>
    </row>
    <row r="143" spans="1:33" ht="17.5" hidden="1" customHeight="1"/>
    <row r="144" spans="1:33" ht="17.5" hidden="1" customHeight="1">
      <c r="B144" s="172" t="s">
        <v>25</v>
      </c>
    </row>
    <row r="145" spans="2:2" ht="17.5" hidden="1" customHeight="1">
      <c r="B145" s="172" t="s">
        <v>22</v>
      </c>
    </row>
    <row r="146" spans="2:2" ht="17.5" hidden="1" customHeight="1">
      <c r="B146" s="172" t="s">
        <v>26</v>
      </c>
    </row>
    <row r="147" spans="2:2" ht="17.5" hidden="1" customHeight="1">
      <c r="B147" s="172" t="s">
        <v>18639</v>
      </c>
    </row>
    <row r="148" spans="2:2" ht="17.5" hidden="1" customHeight="1">
      <c r="B148" s="172" t="s">
        <v>25</v>
      </c>
    </row>
    <row r="149" spans="2:2" ht="17.5" hidden="1" customHeight="1">
      <c r="B149" s="172" t="s">
        <v>22</v>
      </c>
    </row>
    <row r="150" spans="2:2" ht="17.5" hidden="1" customHeight="1">
      <c r="B150" s="172" t="s">
        <v>26</v>
      </c>
    </row>
    <row r="151" spans="2:2" ht="17.5" hidden="1" customHeight="1">
      <c r="B151" s="309" t="s">
        <v>18917</v>
      </c>
    </row>
    <row r="152" spans="2:2" ht="17.5" hidden="1" customHeight="1">
      <c r="B152" s="172" t="s">
        <v>27</v>
      </c>
    </row>
    <row r="153" spans="2:2" ht="17.5" hidden="1" customHeight="1">
      <c r="B153" s="172" t="s">
        <v>28</v>
      </c>
    </row>
    <row r="154" spans="2:2" ht="17.5" hidden="1" customHeight="1">
      <c r="B154" s="172" t="s">
        <v>29</v>
      </c>
    </row>
    <row r="155" spans="2:2" ht="17.5" hidden="1" customHeight="1">
      <c r="B155" s="172" t="s">
        <v>30</v>
      </c>
    </row>
    <row r="156" spans="2:2" ht="17.5" hidden="1" customHeight="1">
      <c r="B156" s="172" t="s">
        <v>31</v>
      </c>
    </row>
    <row r="157" spans="2:2" ht="17.5" hidden="1" customHeight="1">
      <c r="B157" s="172" t="s">
        <v>18640</v>
      </c>
    </row>
    <row r="158" spans="2:2" ht="17.5" hidden="1" customHeight="1">
      <c r="B158" s="172" t="s">
        <v>32</v>
      </c>
    </row>
    <row r="159" spans="2:2" ht="17.5" hidden="1" customHeight="1">
      <c r="B159" s="172" t="s">
        <v>25</v>
      </c>
    </row>
    <row r="160" spans="2:2" ht="17.5" hidden="1" customHeight="1">
      <c r="B160" s="172" t="s">
        <v>22</v>
      </c>
    </row>
    <row r="161" spans="2:3" ht="17.5" hidden="1" customHeight="1">
      <c r="B161" s="172" t="s">
        <v>32</v>
      </c>
    </row>
    <row r="162" spans="2:3" ht="17.5" hidden="1" customHeight="1">
      <c r="B162" s="172" t="s">
        <v>33</v>
      </c>
    </row>
    <row r="163" spans="2:3" ht="17.5" hidden="1" customHeight="1">
      <c r="B163" s="172" t="s">
        <v>22</v>
      </c>
    </row>
    <row r="164" spans="2:3" ht="17.5" hidden="1" customHeight="1">
      <c r="B164" s="172" t="s">
        <v>25</v>
      </c>
    </row>
    <row r="165" spans="2:3" ht="17.5" hidden="1" customHeight="1">
      <c r="B165" s="172" t="s">
        <v>22</v>
      </c>
    </row>
    <row r="166" spans="2:3" ht="17.5" hidden="1" customHeight="1">
      <c r="B166" s="172" t="s">
        <v>26</v>
      </c>
    </row>
    <row r="167" spans="2:3" ht="17.5" hidden="1" customHeight="1">
      <c r="B167" s="172" t="s">
        <v>34</v>
      </c>
    </row>
    <row r="168" spans="2:3" ht="17.5" hidden="1" customHeight="1">
      <c r="B168" s="172" t="s">
        <v>35</v>
      </c>
    </row>
    <row r="169" spans="2:3" ht="17.5" hidden="1" customHeight="1">
      <c r="B169" s="172" t="s">
        <v>36</v>
      </c>
    </row>
    <row r="170" spans="2:3" ht="17.5" hidden="1" customHeight="1">
      <c r="B170" s="172" t="s">
        <v>37</v>
      </c>
    </row>
    <row r="171" spans="2:3" ht="17.5" hidden="1" customHeight="1">
      <c r="B171" s="172" t="s">
        <v>22</v>
      </c>
    </row>
    <row r="172" spans="2:3" ht="17.5" hidden="1" customHeight="1">
      <c r="B172" s="172" t="s">
        <v>25</v>
      </c>
    </row>
    <row r="173" spans="2:3" ht="17.5" hidden="1" customHeight="1">
      <c r="B173" s="172" t="s">
        <v>38</v>
      </c>
    </row>
    <row r="174" spans="2:3" ht="17.5" hidden="1" customHeight="1">
      <c r="B174" s="172" t="s">
        <v>22</v>
      </c>
    </row>
    <row r="175" spans="2:3" ht="17.5" hidden="1" customHeight="1">
      <c r="B175" s="172" t="s">
        <v>40</v>
      </c>
      <c r="C175" t="s">
        <v>19146</v>
      </c>
    </row>
    <row r="176" spans="2:3" ht="17.5" hidden="1" customHeight="1">
      <c r="B176" s="172" t="s">
        <v>18641</v>
      </c>
      <c r="C176" t="s">
        <v>19147</v>
      </c>
    </row>
    <row r="177" spans="2:3" ht="17.5" hidden="1" customHeight="1">
      <c r="B177" s="172" t="s">
        <v>18643</v>
      </c>
      <c r="C177" t="s">
        <v>19148</v>
      </c>
    </row>
    <row r="178" spans="2:3" ht="17.5" hidden="1" customHeight="1">
      <c r="B178" s="172" t="s">
        <v>18644</v>
      </c>
      <c r="C178" t="s">
        <v>19149</v>
      </c>
    </row>
    <row r="179" spans="2:3" ht="17.5" hidden="1" customHeight="1">
      <c r="B179" s="172" t="s">
        <v>41</v>
      </c>
      <c r="C179" t="s">
        <v>19150</v>
      </c>
    </row>
    <row r="180" spans="2:3" ht="17.5" hidden="1" customHeight="1">
      <c r="B180" s="172" t="s">
        <v>18642</v>
      </c>
      <c r="C180" t="s">
        <v>19151</v>
      </c>
    </row>
    <row r="181" spans="2:3" ht="17.5" hidden="1" customHeight="1">
      <c r="B181" s="172"/>
    </row>
    <row r="182" spans="2:3" ht="17.5" hidden="1" customHeight="1">
      <c r="B182" s="172"/>
    </row>
    <row r="183" spans="2:3" ht="17.5" hidden="1" customHeight="1">
      <c r="B183" s="172"/>
    </row>
    <row r="184" spans="2:3" ht="17.5" hidden="1" customHeight="1">
      <c r="B184" s="172"/>
    </row>
    <row r="185" spans="2:3" ht="17.5" hidden="1" customHeight="1">
      <c r="B185" s="172" t="s">
        <v>18645</v>
      </c>
    </row>
    <row r="186" spans="2:3" ht="17.5" hidden="1" customHeight="1"/>
    <row r="187" spans="2:3" ht="17.5" hidden="1" customHeight="1"/>
    <row r="188" spans="2:3" ht="17.5" hidden="1" customHeight="1">
      <c r="B188" s="370"/>
    </row>
    <row r="189" spans="2:3" ht="17.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4" r:id="rId1" xr:uid="{0A672A13-B29A-4938-9938-4EF8E0D1E3C2}"/>
    <hyperlink ref="D19" r:id="rId2" display="h.matsui@pp-evonik.com" xr:uid="{9AC07DC2-A3E5-4DB5-9873-4A9FE0B9C674}"/>
    <hyperlink ref="D20" r:id="rId3" xr:uid="{D9D129B4-DD21-47D1-88D1-000B70B66498}"/>
    <hyperlink ref="G117" r:id="rId4" xr:uid="{7121B7DC-4009-476A-AE36-8493245660D7}"/>
  </hyperlinks>
  <pageMargins left="0.70866141732283505" right="0.70866141732283505" top="0.74803149606299202" bottom="0.74803149606299202" header="0.31496062992126" footer="0.31496062992126"/>
  <pageSetup scale="41" fitToHeight="0" orientation="portrait" r:id="rId5"/>
  <headerFooter>
    <oddHeader>&amp;R&amp;"Calibri"&amp;14&amp;KFF0000 L2: Internal use only&amp;1#_x000D_</oddHeader>
  </headerFooter>
  <rowBreaks count="2" manualBreakCount="2">
    <brk id="58" max="11" man="1"/>
    <brk id="60" max="11"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9" defaultRowHeight="13.5"/>
  <cols>
    <col min="1" max="1" width="13.69140625" style="170" customWidth="1"/>
    <col min="2" max="2" width="13.15234375" style="96" customWidth="1"/>
    <col min="3" max="3" width="40.4609375" style="96" customWidth="1"/>
    <col min="4" max="4" width="30.69140625" style="96" customWidth="1"/>
    <col min="5" max="5" width="21" style="96" customWidth="1"/>
    <col min="6" max="7" width="14" style="96" customWidth="1"/>
    <col min="8" max="8" width="25" style="96" customWidth="1"/>
    <col min="9" max="9" width="24" style="96" customWidth="1"/>
    <col min="10" max="10" width="18.15234375" style="96" customWidth="1"/>
    <col min="11" max="11" width="27.15234375" style="96" customWidth="1"/>
    <col min="12" max="12" width="20.69140625" style="96" customWidth="1"/>
    <col min="13" max="13" width="35" style="96" customWidth="1"/>
    <col min="14" max="14" width="42" style="96" customWidth="1"/>
    <col min="15" max="15" width="32" style="96" customWidth="1"/>
    <col min="16" max="16" width="23" style="96" customWidth="1"/>
    <col min="17" max="17" width="43.4609375" style="96" customWidth="1"/>
    <col min="18" max="18" width="7.3046875" style="96" hidden="1" customWidth="1"/>
    <col min="19" max="19" width="19" style="96" hidden="1" customWidth="1"/>
    <col min="20" max="20" width="13.15234375" style="96" hidden="1" customWidth="1"/>
    <col min="21" max="21" width="19.4609375" style="96" hidden="1" customWidth="1"/>
    <col min="22" max="22" width="5.69140625" style="96" hidden="1" customWidth="1"/>
    <col min="23" max="23" width="14.4609375" style="96" hidden="1" customWidth="1"/>
    <col min="24" max="24" width="27.3046875" style="96" hidden="1" customWidth="1"/>
    <col min="25" max="25" width="25.69140625" style="96" hidden="1" customWidth="1"/>
    <col min="26" max="26" width="22" style="96" hidden="1" customWidth="1"/>
    <col min="27" max="27" width="20.69140625" style="96" hidden="1" customWidth="1"/>
    <col min="28" max="28" width="20.15234375" style="315" hidden="1" customWidth="1"/>
    <col min="29" max="29" width="26.3046875" style="96" hidden="1" customWidth="1"/>
    <col min="30" max="30" width="23.3046875" style="96" hidden="1" customWidth="1"/>
    <col min="31" max="31" width="26" style="96" hidden="1" customWidth="1"/>
    <col min="32" max="32" width="30.15234375" style="96" hidden="1" customWidth="1"/>
    <col min="33" max="33" width="26" style="96" hidden="1" customWidth="1"/>
    <col min="34" max="34" width="21" style="96" hidden="1" customWidth="1"/>
    <col min="35" max="39" width="9" style="96" customWidth="1"/>
    <col min="40" max="16384" width="9" style="96"/>
  </cols>
  <sheetData>
    <row r="1" spans="1:34" s="16" customFormat="1" ht="14"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 xml:space="preserve">開始するには
</v>
      </c>
      <c r="C2" s="142"/>
      <c r="D2" s="142"/>
      <c r="E2" s="142"/>
      <c r="F2" s="161"/>
      <c r="G2" s="161"/>
      <c r="H2" s="161"/>
      <c r="I2" s="284"/>
      <c r="J2" s="467" t="str">
        <f ca="1">OFFSET(L!$C$1,MATCH("Smelter List"&amp;ADDRESS(ROW(),COLUMN(),4),L!$A:$A,0)-1,SL,,)</f>
        <v>「RMAP適合製錬業者リスト」へのリンク</v>
      </c>
      <c r="K2" s="468"/>
      <c r="L2" s="468"/>
      <c r="M2" s="468"/>
      <c r="N2" s="468"/>
      <c r="O2" s="468"/>
      <c r="P2" s="162"/>
      <c r="Q2" s="163"/>
      <c r="R2" s="164"/>
      <c r="S2" s="164"/>
      <c r="T2" s="164"/>
      <c r="AB2" s="312"/>
      <c r="AH2" s="130" t="s">
        <v>25</v>
      </c>
    </row>
    <row r="3" spans="1:34" s="16" customFormat="1" ht="249.5" customHeight="1">
      <c r="A3" s="202"/>
      <c r="B3" s="469" t="str">
        <f ca="1">OFFSET(L!$C$1,MATCH("Smelter List"&amp;ADDRESS(ROW(),COLUMN(),4),L!$A:$A,0)-1,SL,,)</f>
        <v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v>
      </c>
      <c r="C3" s="469"/>
      <c r="D3" s="469"/>
      <c r="E3" s="469"/>
      <c r="F3" s="165"/>
      <c r="G3" s="470" t="str">
        <f ca="1">OFFSET(L!$C$1,MATCH("General"&amp;"Cpy",L!$A:$A,0)-1,SL,,)</f>
        <v>© 2025 Responsible Minerals Initiative. 無断転載・再配布禁止。</v>
      </c>
      <c r="H3" s="471"/>
      <c r="I3" s="472"/>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製錬業者識別番号の入力列</v>
      </c>
      <c r="B4" s="128" t="str">
        <f ca="1">OFFSET(L!$C$1,MATCH("Smelter List"&amp;ADDRESS(ROW(),COLUMN(),4),L!$A:$A,0)-1,SL,,)</f>
        <v>金属 (*)</v>
      </c>
      <c r="C4" s="128" t="str">
        <f ca="1">OFFSET(L!$C$1,MATCH("Smelter List"&amp;ADDRESS(ROW(),COLUMN(),4),L!$A:$A,0)-1,SL,,)</f>
        <v>Smelter Look-Up（製錬業者名検索）（*）</v>
      </c>
      <c r="D4" s="128" t="str">
        <f ca="1">OFFSET(L!$C$1,MATCH("Smelter List"&amp;ADDRESS(ROW(),COLUMN(),4),L!$A:$A,0)-1,SL,,)</f>
        <v xml:space="preserve">製錬業者名(8)
</v>
      </c>
      <c r="E4" s="128" t="str">
        <f ca="1">OFFSET(L!$C$1,MATCH("Smelter List"&amp;ADDRESS(ROW(),COLUMN(),4),L!$A:$A,0)-1,SL,,)</f>
        <v>製錬業者所在地：国(*)</v>
      </c>
      <c r="F4" s="128" t="str">
        <f ca="1">OFFSET(L!$C$1,MATCH("Smelter List"&amp;ADDRESS(ROW(),COLUMN(),4),L!$A:$A,0)-1,SL,,)</f>
        <v>製錬業者識別番号</v>
      </c>
      <c r="G4" s="128" t="str">
        <f ca="1">OFFSET(L!$C$1,MATCH("Smelter List"&amp;ADDRESS(ROW(),COLUMN(),4),L!$A:$A,0)-1,SL,,)</f>
        <v>製錬業者識別番号の発行元</v>
      </c>
      <c r="H4" s="129" t="str">
        <f ca="1">OFFSET(L!$C$1,MATCH("Smelter List"&amp;ADDRESS(ROW(),COLUMN(),4),L!$A:$A,0)-1,SL,,)</f>
        <v>製錬業者所在地：番地</v>
      </c>
      <c r="I4" s="129" t="str">
        <f ca="1">OFFSET(L!$C$1,MATCH("Smelter List"&amp;ADDRESS(ROW(),COLUMN(),4),L!$A:$A,0)-1,SL,,)</f>
        <v>製錬業者所在地：市</v>
      </c>
      <c r="J4" s="129" t="str">
        <f ca="1">OFFSET(L!$C$1,MATCH("Smelter List"&amp;ADDRESS(ROW(),COLUMN(),4),L!$A:$A,0)-1,SL,,)</f>
        <v>製錬施設所在地：州／県</v>
      </c>
      <c r="K4" s="129" t="str">
        <f ca="1">OFFSET(L!$C$1,MATCH("Smelter List"&amp;ADDRESS(ROW(),COLUMN(),4),L!$A:$A,0)-1,SL,,)</f>
        <v>製錬業者連絡先担当者名</v>
      </c>
      <c r="L4" s="129" t="str">
        <f ca="1">OFFSET(L!$C$1,MATCH("Smelter List"&amp;ADDRESS(ROW(),COLUMN(),4),L!$A:$A,0)-1,SL,,)</f>
        <v>製錬業者連絡先電子メール</v>
      </c>
      <c r="M4" s="129" t="str">
        <f ca="1">OFFSET(L!$C$1,MATCH("Smelter List"&amp;ADDRESS(ROW(),COLUMN(),4),L!$A:$A,0)-1,SL,,)</f>
        <v>今後の対策案</v>
      </c>
      <c r="N4" s="129" t="str">
        <f ca="1">OFFSET(L!$C$1,MATCH("Smelter List"&amp;ADDRESS(ROW(),COLUMN(),4),L!$A:$A,0)-1,SL,,)</f>
        <v>鉱山名を記入。リサイクル又はスクラップ資源を由来とする場合は「recycled（リサイクル）」 又は「scrap（スクラップ）」と記入</v>
      </c>
      <c r="O4" s="129" t="str">
        <f ca="1">OFFSET(L!$C$1,MATCH("Smelter List"&amp;ADDRESS(ROW(),COLUMN(),4),L!$A:$A,0)-1,SL,,)</f>
        <v>鉱山の所在地（国）を記入。リサイクル又はスクラップ資源を由来とした場合は「recycled（リサイクル）」 又は「scrap（スクラップ）」と記入</v>
      </c>
      <c r="P4" s="129" t="str">
        <f ca="1">OFFSET(L!$C$1,MATCH("Smelter List"&amp;ADDRESS(ROW(),COLUMN(),4),L!$A:$A,0)-1,SL,,)</f>
        <v>製錬業者の原料はすべてリサイクル又はスクラップ資源を由来としていますか？</v>
      </c>
      <c r="Q4" s="130" t="str">
        <f ca="1">OFFSET(L!$C$1,MATCH("Smelter List"&amp;ADDRESS(ROW(),COLUMN(),4),L!$A:$A,0)-1,SL,,)</f>
        <v>備考</v>
      </c>
      <c r="R4" s="128" t="s">
        <v>42</v>
      </c>
      <c r="S4" s="128" t="s">
        <v>43</v>
      </c>
      <c r="T4" s="128" t="s">
        <v>44</v>
      </c>
      <c r="U4" s="167"/>
      <c r="W4" s="140" t="s">
        <v>45</v>
      </c>
      <c r="X4" s="140" t="s">
        <v>46</v>
      </c>
      <c r="AB4" s="313"/>
      <c r="AH4" s="130" t="s">
        <v>26</v>
      </c>
    </row>
    <row r="5" spans="1:34" s="170" customFormat="1" ht="20">
      <c r="A5" s="198"/>
      <c r="B5" s="304" t="str">
        <f>IF(LEN(A5)=0,"",INDEX('Smelter Look-up'!$A:$A,MATCH($A5,'Smelter Look-up'!$E:$E,0)))</f>
        <v/>
      </c>
      <c r="C5" s="152" t="str">
        <f>IF(LEN(A5)=0,"",INDEX('Smelter Look-up'!$C:$C,MATCH($A5,'Smelter Look-up'!$E:$E,0)))</f>
        <v/>
      </c>
      <c r="D5" s="149"/>
      <c r="E5" s="149" t="str">
        <f ca="1">IF(ISERROR($V5),"",OFFSET('Smelter Look-up'!$D$4,$V5-4,0)&amp;"")</f>
        <v/>
      </c>
      <c r="F5" s="149" t="str">
        <f ca="1">IF(ISERROR($V5),"",OFFSET('Smelter Look-up'!$E$4,$V5-4,0))</f>
        <v/>
      </c>
      <c r="G5" s="149" t="str">
        <f ca="1">IF(C5=$X$4,"Enter smelter details",IF(ISERROR($V5),"",OFFSET('Smelter Look-up'!$F$4,$V5-4,0)))</f>
        <v/>
      </c>
      <c r="H5" s="206" t="str">
        <f ca="1">IF(ISERROR($V5),"",OFFSET('Smelter Look-up'!$G$4,$V5-4,0))</f>
        <v/>
      </c>
      <c r="I5" s="207" t="str">
        <f ca="1">IF(ISERROR($V5),"",OFFSET('Smelter Look-up'!$H$4,$V5-4,0))</f>
        <v/>
      </c>
      <c r="J5" s="207" t="str">
        <f ca="1">IF(ISERROR($V5),"",OFFSET('Smelter Look-up'!$I$4,$V5-4,0))</f>
        <v/>
      </c>
      <c r="K5" s="150"/>
      <c r="L5" s="150"/>
      <c r="M5" s="150"/>
      <c r="N5" s="150"/>
      <c r="O5" s="150"/>
      <c r="P5" s="209"/>
      <c r="Q5" s="151"/>
      <c r="R5" s="149" t="str">
        <f ca="1">IF(ISERROR($V5),"",OFFSET('Smelter Look-up'!$C$4,$V5-4,0)&amp;"")</f>
        <v/>
      </c>
      <c r="S5" s="155" t="str">
        <f t="shared" ref="S5:S12" ca="1" si="0">IF(B5="","",IF(ISERROR(MATCH($E5,CL,0)),"Unknown",INDIRECT("'C'!$A$"&amp;MATCH($E5,CL,0)+1)))</f>
        <v/>
      </c>
      <c r="T5" s="155" t="str">
        <f ca="1">IF(B5="","",IF(ISERROR(MATCH($J5,SorP!$B$1:$B$6226,0)),"",INDIRECT("'SorP'!$A$"&amp;MATCH($S5&amp;$J5,SorP!C:C,0))))</f>
        <v/>
      </c>
      <c r="U5" s="168"/>
      <c r="V5" s="169" t="e">
        <f>IF(C5="",NA(),MATCH($B5&amp;$C5,'Smelter Look-up'!$J:$J,0))</f>
        <v>#N/A</v>
      </c>
      <c r="X5" s="170">
        <f t="shared" ref="X5:X12" ca="1" si="1">IF(AND(C5="Smelter not listed",OR(LEN(D5)=0,LEN(E5)=0)),1,0)</f>
        <v>0</v>
      </c>
      <c r="AB5" s="314" t="str">
        <f t="shared" ref="AB5:AB12" si="2">IF(C5="","",B5)</f>
        <v/>
      </c>
    </row>
    <row r="6" spans="1:34" s="170" customFormat="1" ht="20">
      <c r="A6" s="198"/>
      <c r="B6" s="304" t="str">
        <f>IF(LEN(A6)=0,"",INDEX('Smelter Look-up'!$A:$A,MATCH($A6,'Smelter Look-up'!$E:$E,0)))</f>
        <v/>
      </c>
      <c r="C6" s="152" t="str">
        <f>IF(LEN(A6)=0,"",INDEX('Smelter Look-up'!$C:$C,MATCH($A6,'Smelter Look-up'!$E:$E,0)))</f>
        <v/>
      </c>
      <c r="D6" s="149"/>
      <c r="E6" s="149" t="str">
        <f ca="1">IF(ISERROR($V6),"",OFFSET('Smelter Look-up'!$D$4,$V6-4,0)&amp;"")</f>
        <v/>
      </c>
      <c r="F6" s="149" t="str">
        <f ca="1">IF(ISERROR($V6),"",OFFSET('Smelter Look-up'!$E$4,$V6-4,0))</f>
        <v/>
      </c>
      <c r="G6" s="149" t="str">
        <f ca="1">IF(C6=$X$4,"Enter smelter details",IF(ISERROR($V6),"",OFFSET('Smelter Look-up'!$F$4,$V6-4,0)))</f>
        <v/>
      </c>
      <c r="H6" s="206" t="str">
        <f ca="1">IF(ISERROR($V6),"",OFFSET('Smelter Look-up'!$G$4,$V6-4,0))</f>
        <v/>
      </c>
      <c r="I6" s="207" t="str">
        <f ca="1">IF(ISERROR($V6),"",OFFSET('Smelter Look-up'!$H$4,$V6-4,0))</f>
        <v/>
      </c>
      <c r="J6" s="207" t="str">
        <f ca="1">IF(ISERROR($V6),"",OFFSET('Smelter Look-up'!$I$4,$V6-4,0))</f>
        <v/>
      </c>
      <c r="K6" s="150"/>
      <c r="L6" s="150"/>
      <c r="M6" s="150"/>
      <c r="N6" s="150"/>
      <c r="O6" s="150"/>
      <c r="P6" s="209"/>
      <c r="Q6" s="151"/>
      <c r="R6" s="149" t="str">
        <f ca="1">IF(ISERROR($V6),"",OFFSET('Smelter Look-up'!$C$4,$V6-4,0)&amp;"")</f>
        <v/>
      </c>
      <c r="S6" s="155" t="str">
        <f t="shared" ca="1" si="0"/>
        <v/>
      </c>
      <c r="T6" s="155" t="str">
        <f ca="1">IF(B6="","",IF(ISERROR(MATCH($J6,SorP!$B$1:$B$6226,0)),"",INDIRECT("'SorP'!$A$"&amp;MATCH($S6&amp;$J6,SorP!C:C,0))))</f>
        <v/>
      </c>
      <c r="U6" s="168"/>
      <c r="V6" s="169" t="e">
        <f>IF(C6="",NA(),MATCH($B6&amp;$C6,'Smelter Look-up'!$J:$J,0))</f>
        <v>#N/A</v>
      </c>
      <c r="X6" s="170">
        <f t="shared" ca="1" si="1"/>
        <v>0</v>
      </c>
      <c r="AB6" s="314" t="str">
        <f t="shared" si="2"/>
        <v/>
      </c>
    </row>
    <row r="7" spans="1:34" s="170" customFormat="1" ht="20">
      <c r="A7" s="198"/>
      <c r="B7" s="304"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0"/>
        <v/>
      </c>
      <c r="T7" s="155" t="str">
        <f ca="1">IF(B7="","",IF(ISERROR(MATCH($J7,SorP!$B$1:$B$6226,0)),"",INDIRECT("'SorP'!$A$"&amp;MATCH($S7&amp;$J7,SorP!C:C,0))))</f>
        <v/>
      </c>
      <c r="U7" s="168"/>
      <c r="V7" s="169" t="e">
        <f>IF(C7="",NA(),MATCH($B7&amp;$C7,'Smelter Look-up'!$J:$J,0))</f>
        <v>#N/A</v>
      </c>
      <c r="X7" s="170">
        <f t="shared" ca="1" si="1"/>
        <v>0</v>
      </c>
      <c r="AB7" s="314" t="str">
        <f t="shared" si="2"/>
        <v/>
      </c>
    </row>
    <row r="8" spans="1:34" s="170" customFormat="1" ht="20">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14" t="str">
        <f t="shared" si="2"/>
        <v/>
      </c>
    </row>
    <row r="9" spans="1:34" s="170" customFormat="1" ht="20">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14" t="str">
        <f t="shared" si="2"/>
        <v/>
      </c>
    </row>
    <row r="10" spans="1:34" s="170" customFormat="1" ht="20">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14" t="str">
        <f t="shared" si="2"/>
        <v/>
      </c>
    </row>
    <row r="11" spans="1:34" s="170" customFormat="1" ht="20">
      <c r="A11" s="199"/>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0"/>
        <v/>
      </c>
      <c r="T11" s="155" t="str">
        <f ca="1">IF(B11="","",IF(ISERROR(MATCH($J11,SorP!$B$1:$B$6226,0)),"",INDIRECT("'SorP'!$A$"&amp;MATCH($S11&amp;$J11,SorP!C:C,0))))</f>
        <v/>
      </c>
      <c r="U11" s="168"/>
      <c r="V11" s="169" t="e">
        <f>IF(C11="",NA(),MATCH($B11&amp;$C11,'Smelter Look-up'!$J:$J,0))</f>
        <v>#N/A</v>
      </c>
      <c r="X11" s="170">
        <f t="shared" ca="1" si="1"/>
        <v>0</v>
      </c>
      <c r="AB11" s="314" t="str">
        <f t="shared" si="2"/>
        <v/>
      </c>
    </row>
    <row r="12" spans="1:34" s="170" customFormat="1" ht="20">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0"/>
        <v/>
      </c>
      <c r="T12" s="155" t="str">
        <f ca="1">IF(B12="","",IF(ISERROR(MATCH($J12,SorP!$B$1:$B$6226,0)),"",INDIRECT("'SorP'!$A$"&amp;MATCH($S12&amp;$J12,SorP!C:C,0))))</f>
        <v/>
      </c>
      <c r="U12" s="168"/>
      <c r="V12" s="169" t="e">
        <f>IF(C12="",NA(),MATCH($B12&amp;$C12,'Smelter Look-up'!$J:$J,0))</f>
        <v>#N/A</v>
      </c>
      <c r="X12" s="170">
        <f t="shared" ca="1" si="1"/>
        <v>0</v>
      </c>
      <c r="AB12" s="314" t="str">
        <f t="shared" si="2"/>
        <v/>
      </c>
    </row>
    <row r="13" spans="1:34" s="170" customFormat="1" ht="20">
      <c r="A13" s="198"/>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3">IF(B13="","",IF(ISERROR(MATCH($E13,CL,0)),"Unknown",INDIRECT("'C'!$A$"&amp;MATCH($E13,CL,0)+1)))</f>
        <v/>
      </c>
      <c r="T13" s="155" t="str">
        <f ca="1">IF(B13="","",IF(ISERROR(MATCH($J13,SorP!$B$1:$B$6226,0)),"",INDIRECT("'SorP'!$A$"&amp;MATCH($S13&amp;$J13,SorP!C:C,0))))</f>
        <v/>
      </c>
      <c r="U13" s="168"/>
      <c r="V13" s="169" t="e">
        <f>IF(C13="",NA(),MATCH($B13&amp;$C13,'Smelter Look-up'!$J:$J,0))</f>
        <v>#N/A</v>
      </c>
      <c r="X13" s="170">
        <f t="shared" ref="X13:X62" ca="1" si="4">IF(AND(C13="Smelter not listed",OR(LEN(D13)=0,LEN(E13)=0)),1,0)</f>
        <v>0</v>
      </c>
      <c r="AB13" s="314" t="str">
        <f t="shared" ref="AB13:AB69" si="5">IF(C13="","",B13)</f>
        <v/>
      </c>
    </row>
    <row r="14" spans="1:34" s="170" customFormat="1" ht="20">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0.5"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4"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3.5"/>
  <cols>
    <col min="1" max="1" width="45" style="15" customWidth="1"/>
    <col min="2" max="2" width="43" style="16" customWidth="1"/>
    <col min="3" max="3" width="51.4609375" style="15" customWidth="1"/>
    <col min="4" max="4" width="29" style="16" customWidth="1"/>
    <col min="5" max="9" width="10" style="15" hidden="1" customWidth="1"/>
    <col min="10" max="10" width="20.15234375" style="15" hidden="1" customWidth="1"/>
    <col min="11" max="12" width="10" style="15" hidden="1" customWidth="1"/>
    <col min="13" max="16" width="10" style="15" customWidth="1"/>
    <col min="17" max="26" width="9" style="15" customWidth="1"/>
    <col min="27" max="16384" width="9" style="15"/>
  </cols>
  <sheetData>
    <row r="1" spans="1:10" ht="30" customHeight="1">
      <c r="A1" s="473" t="str">
        <f ca="1">OFFSET(L!$C$1,MATCH("Checker"&amp;ADDRESS(ROW(),COLUMN(),4),L!$A:$A,0)-1,SL,,)</f>
        <v>顧客に回答を提出する前に、赤で表示されている必須項目について、すべて記入されているかを確認してください。</v>
      </c>
      <c r="B1" s="473"/>
      <c r="C1" s="473"/>
      <c r="D1" s="108" t="str">
        <f ca="1">OFFSET(L!$C$1,MATCH("Checker"&amp;ADDRESS(ROW(),COLUMN(),4),L!$A:$A,0)-1,SL,,)</f>
        <v>未記入の必須項目があります</v>
      </c>
      <c r="E1" s="16" t="s">
        <v>18</v>
      </c>
    </row>
    <row r="2" spans="1:10" ht="15">
      <c r="A2" s="58" t="s">
        <v>47</v>
      </c>
      <c r="B2" s="59" t="str">
        <f>IF(F114=1,"Click here to return to Smelter List","")</f>
        <v/>
      </c>
      <c r="C2" s="111" t="str">
        <f>IF(F112=1,"Click here to return to Product List","")</f>
        <v>Click here to return to Product List</v>
      </c>
      <c r="D2" s="133" t="str">
        <f ca="1">IF(H125=0,"0",H125)</f>
        <v>0</v>
      </c>
    </row>
    <row r="3" spans="1:10" ht="15">
      <c r="A3" s="60" t="str">
        <f ca="1">OFFSET(L!$C$1,MATCH("Checker"&amp;ADDRESS(ROW(),COLUMN(),4),L!$A:$A,0)-1,SL,,)</f>
        <v>必須項目</v>
      </c>
      <c r="B3" s="60" t="str">
        <f ca="1">OFFSET(L!$C$1,MATCH("Checker"&amp;ADDRESS(ROW(),COLUMN(),4),L!$A:$A,0)-1,SL,,)</f>
        <v>回答</v>
      </c>
      <c r="C3" s="60" t="str">
        <f ca="1">OFFSET(L!$C$1,MATCH("Checker"&amp;ADDRESS(ROW(),COLUMN(),4),L!$A:$A,0)-1,SL,,)</f>
        <v>注</v>
      </c>
      <c r="D3" s="60" t="str">
        <f ca="1">OFFSET(L!$C$1,MATCH("Checker"&amp;ADDRESS(ROW(),COLUMN(),4),L!$A:$A,0)-1,SL,,)</f>
        <v>該当箇所へのリンク</v>
      </c>
      <c r="F3" s="61" t="s">
        <v>48</v>
      </c>
      <c r="G3" s="15" t="s">
        <v>49</v>
      </c>
      <c r="H3" s="15" t="s">
        <v>50</v>
      </c>
      <c r="I3" s="15" t="s">
        <v>51</v>
      </c>
      <c r="J3" s="15" t="s">
        <v>52</v>
      </c>
    </row>
    <row r="4" spans="1:10" ht="41">
      <c r="A4" s="135" t="str">
        <f ca="1">Declaration!B8</f>
        <v>会社名(*):</v>
      </c>
      <c r="B4" s="356" t="str">
        <f>Declaration!D8</f>
        <v>ポリプラ・エボニック株式会社</v>
      </c>
      <c r="C4" s="136" t="str">
        <f t="shared" ref="C4:C11" ca="1" si="0">IF(H4=1,J4,I4)</f>
        <v>記入済</v>
      </c>
      <c r="D4" s="204" t="str">
        <f>IF(H4=1,"Click here to enter Company Name","")</f>
        <v/>
      </c>
      <c r="E4" s="16" t="s">
        <v>15</v>
      </c>
      <c r="F4" s="83">
        <v>1</v>
      </c>
      <c r="G4" s="62">
        <f t="shared" ref="G4:G11" si="1">IF(B4=0,1,0)</f>
        <v>0</v>
      </c>
      <c r="H4" s="63">
        <f t="shared" ref="H4:H17" si="2">F4*G4</f>
        <v>0</v>
      </c>
      <c r="I4" s="131" t="str">
        <f ca="1">OFFSET(L!$C$1,MATCH("Checker"&amp;"Comp",L!$A:$A,0)-1,SL,,)</f>
        <v>記入済</v>
      </c>
      <c r="J4" s="358" t="str">
        <f ca="1">OFFSET(L!$C$1,MATCH("Checker"&amp;ADDRESS(ROW(),COLUMN(),4),L!$A:$A,0)-1,SL,,)</f>
        <v>「申告（Declaration）」タブのD8セルに貴社名を記入してください</v>
      </c>
    </row>
    <row r="5" spans="1:10" ht="41">
      <c r="A5" s="135" t="str">
        <f ca="1">Declaration!B9</f>
        <v>申告範囲又はクラス(*):</v>
      </c>
      <c r="B5" s="356" t="str">
        <f>Declaration!D9</f>
        <v>B. Product (or List of Products)</v>
      </c>
      <c r="C5" s="136" t="str">
        <f t="shared" ca="1" si="0"/>
        <v>記入済</v>
      </c>
      <c r="D5" s="85" t="str">
        <f>IF(H5=1,"Click here to enter Declaration Scope","")</f>
        <v/>
      </c>
      <c r="E5" s="16" t="s">
        <v>15</v>
      </c>
      <c r="F5" s="83">
        <v>1</v>
      </c>
      <c r="G5" s="62">
        <f t="shared" si="1"/>
        <v>0</v>
      </c>
      <c r="H5" s="63">
        <f t="shared" si="2"/>
        <v>0</v>
      </c>
      <c r="I5" s="131" t="str">
        <f ca="1">OFFSET(L!$C$1,MATCH("Checker"&amp;"Comp",L!$A:$A,0)-1,SL,,)</f>
        <v>記入済</v>
      </c>
      <c r="J5" s="132" t="str">
        <f ca="1">OFFSET(L!$C$1,MATCH("Checker"&amp;ADDRESS(ROW(),COLUMN(),4),L!$A:$A,0)-1,SL,,)</f>
        <v>「申告（Declaration）」タブのD9セルで申告範囲を選択してください</v>
      </c>
    </row>
    <row r="6" spans="1:10" ht="22" customHeight="1">
      <c r="A6" s="80" t="str">
        <f ca="1">Declaration!B10</f>
        <v>この申告に適用される製品は製品一覧表(Product List)のシートに移動して入力</v>
      </c>
      <c r="B6" s="79">
        <f>Declaration!D10</f>
        <v>0</v>
      </c>
      <c r="C6" s="79" t="str">
        <f t="shared" ca="1" si="0"/>
        <v>記入済</v>
      </c>
      <c r="D6" s="85" t="str">
        <f>IF(H6=1,"Click here to provide a Description of Scope","")</f>
        <v/>
      </c>
      <c r="E6" s="16" t="s">
        <v>15</v>
      </c>
      <c r="F6" s="84">
        <f>IF(OR(B5=Declaration!P9,B5=Declaration!Q9,B5=0),0,1)</f>
        <v>0</v>
      </c>
      <c r="G6" s="62">
        <f t="shared" si="1"/>
        <v>1</v>
      </c>
      <c r="H6" s="63">
        <f t="shared" si="2"/>
        <v>0</v>
      </c>
      <c r="I6" s="131" t="str">
        <f ca="1">OFFSET(L!$C$1,MATCH("Checker"&amp;"Comp",L!$A:$A,0)-1,SL,,)</f>
        <v>記入済</v>
      </c>
      <c r="J6" s="15" t="str">
        <f ca="1">OFFSET(L!$C$1,MATCH("Checker"&amp;ADDRESS(ROW(),COLUMN(),4),L!$A:$A,0)-1,SL,,)</f>
        <v>「申告（Declaration）」タブのD10セルに申告範囲の説明を記入してください</v>
      </c>
    </row>
    <row r="7" spans="1:10" ht="22" customHeight="1">
      <c r="A7" s="80" t="str">
        <f ca="1">Declaration!B12</f>
        <v>対象となる鉱物／金属を選択 (*):</v>
      </c>
      <c r="B7" s="82"/>
      <c r="C7" s="79" t="str">
        <f t="shared" ca="1" si="0"/>
        <v>記入済</v>
      </c>
      <c r="D7" s="317" t="str">
        <f>IF(H7=1,"Click here to enter Minerals/Metals in Scope","")</f>
        <v/>
      </c>
      <c r="E7" s="16"/>
      <c r="F7" s="83">
        <v>1</v>
      </c>
      <c r="G7" s="308">
        <f>IF(Declaration!B30&lt;&gt;"",0,1)</f>
        <v>0</v>
      </c>
      <c r="H7" s="63">
        <f t="shared" si="2"/>
        <v>0</v>
      </c>
      <c r="I7" s="131" t="str">
        <f ca="1">OFFSET(L!$C$1,MATCH("Checker"&amp;"Comp",L!$A:$A,0)-1,SL,,)</f>
        <v>記入済</v>
      </c>
      <c r="J7" s="15">
        <f ca="1">OFFSET(L!$C$1,MATCH("Checker"&amp;ADDRESS(ROW(),COLUMN(),4),L!$A:$A,0)-1,SL,,)</f>
        <v>0</v>
      </c>
    </row>
    <row r="8" spans="1:10" ht="22" customHeight="1">
      <c r="A8" s="80">
        <f>Declaration!B14</f>
        <v>0</v>
      </c>
      <c r="B8" s="79"/>
      <c r="C8" s="79"/>
      <c r="D8" s="85"/>
      <c r="E8" s="16"/>
      <c r="F8" s="83"/>
      <c r="G8" s="62"/>
      <c r="H8" s="63"/>
      <c r="I8" s="131"/>
    </row>
    <row r="9" spans="1:10" ht="41">
      <c r="A9" s="135" t="str">
        <f ca="1">Declaration!B19</f>
        <v>連絡先担当者名(*):</v>
      </c>
      <c r="B9" s="356" t="str">
        <f>Declaration!D19</f>
        <v>西 芳夫</v>
      </c>
      <c r="C9" s="136" t="str">
        <f t="shared" ca="1" si="0"/>
        <v>記入済</v>
      </c>
      <c r="D9" s="317" t="str">
        <f>IF(H9=1,"Click here to enter Contact Name","")</f>
        <v/>
      </c>
      <c r="E9" s="16" t="s">
        <v>15</v>
      </c>
      <c r="F9" s="83">
        <v>1</v>
      </c>
      <c r="G9" s="62">
        <f t="shared" si="1"/>
        <v>0</v>
      </c>
      <c r="H9" s="63">
        <f t="shared" si="2"/>
        <v>0</v>
      </c>
      <c r="I9" s="131" t="str">
        <f ca="1">OFFSET(L!$C$1,MATCH("Checker"&amp;"Comp",L!$A:$A,0)-1,SL,,)</f>
        <v>記入済</v>
      </c>
      <c r="J9" s="15" t="str">
        <f ca="1">OFFSET(L!$C$1,MATCH("Checker"&amp;ADDRESS(ROW(),COLUMN(),4),L!$A:$A,0)-1,SL,,)</f>
        <v>「申告（Declaration）」タブのD19セルに連絡先担当者名を記入してください</v>
      </c>
    </row>
    <row r="10" spans="1:10" ht="41">
      <c r="A10" s="135" t="str">
        <f ca="1">Declaration!B20</f>
        <v>連絡先担当者の電子メール(*):</v>
      </c>
      <c r="B10" s="357" t="str">
        <f>Declaration!D20</f>
        <v>yo.nishi@pp-evonik.com</v>
      </c>
      <c r="C10" s="136" t="str">
        <f t="shared" ca="1" si="0"/>
        <v>記入済</v>
      </c>
      <c r="D10" s="316" t="str">
        <f>IF(H10=1,"Click here to enter Email-Contact","")</f>
        <v/>
      </c>
      <c r="E10" s="16" t="s">
        <v>15</v>
      </c>
      <c r="F10" s="83">
        <v>1</v>
      </c>
      <c r="G10" s="62">
        <f>IF(ISNUMBER(SEARCH("@",B10)),0,1)</f>
        <v>0</v>
      </c>
      <c r="H10" s="63">
        <f t="shared" si="2"/>
        <v>0</v>
      </c>
      <c r="I10" s="131" t="str">
        <f ca="1">OFFSET(L!$C$1,MATCH("Checker"&amp;"Comp",L!$A:$A,0)-1,SL,,)</f>
        <v>記入済</v>
      </c>
      <c r="J10" s="15" t="str">
        <f ca="1">OFFSET(L!$C$1,MATCH("Checker"&amp;ADDRESS(ROW(),COLUMN(),4),L!$A:$A,0)-1,SL,,)</f>
        <v>「申告（Declaration）」タブのD20セルに連絡先担当者の有効な電子メールを記入してください</v>
      </c>
    </row>
    <row r="11" spans="1:10" ht="41">
      <c r="A11" s="135" t="str">
        <f ca="1">Declaration!B21</f>
        <v>連絡先担当者の電話番号(*):</v>
      </c>
      <c r="B11" s="356" t="str">
        <f>Declaration!D21</f>
        <v>079-273-4965</v>
      </c>
      <c r="C11" s="136" t="str">
        <f t="shared" ca="1" si="0"/>
        <v>記入済</v>
      </c>
      <c r="D11" s="316" t="str">
        <f>IF(H11=1,"Click here to enter Phone-Contact","")</f>
        <v/>
      </c>
      <c r="E11" s="16" t="s">
        <v>15</v>
      </c>
      <c r="F11" s="83">
        <v>1</v>
      </c>
      <c r="G11" s="62">
        <f t="shared" si="1"/>
        <v>0</v>
      </c>
      <c r="H11" s="63">
        <f t="shared" si="2"/>
        <v>0</v>
      </c>
      <c r="I11" s="131" t="str">
        <f ca="1">OFFSET(L!$C$1,MATCH("Checker"&amp;"Comp",L!$A:$A,0)-1,SL,,)</f>
        <v>記入済</v>
      </c>
      <c r="J11" s="15" t="str">
        <f ca="1">OFFSET(L!$C$1,MATCH("Checker"&amp;ADDRESS(ROW(),COLUMN(),4),L!$A:$A,0)-1,SL,,)</f>
        <v>「申告（Declaration）」タブのD21セルに連絡先担当者の電話番号を記入してください</v>
      </c>
    </row>
    <row r="12" spans="1:10" ht="41">
      <c r="A12" s="135" t="str">
        <f ca="1">Declaration!B22</f>
        <v>回答責任者名(*):</v>
      </c>
      <c r="B12" s="356" t="str">
        <f>Declaration!D22</f>
        <v>西 芳夫</v>
      </c>
      <c r="C12" s="136" t="str">
        <f t="shared" ref="C12:C72" ca="1" si="3">IF(H12=1,J12,I12)</f>
        <v>記入済</v>
      </c>
      <c r="D12" s="316" t="str">
        <f>IF(H12=1,"Click here to enter an Authorized Company Representative's name","")</f>
        <v/>
      </c>
      <c r="E12" s="16" t="s">
        <v>15</v>
      </c>
      <c r="F12" s="83">
        <v>1</v>
      </c>
      <c r="G12" s="62">
        <f t="shared" ref="G12:G17" si="4">IF(B12=0,1,0)</f>
        <v>0</v>
      </c>
      <c r="H12" s="63">
        <f t="shared" si="2"/>
        <v>0</v>
      </c>
      <c r="I12" s="131" t="str">
        <f ca="1">OFFSET(L!$C$1,MATCH("Checker"&amp;"Comp",L!$A:$A,0)-1,SL,,)</f>
        <v>記入済</v>
      </c>
      <c r="J12" s="15" t="str">
        <f ca="1">OFFSET(L!$C$1,MATCH("Checker"&amp;ADDRESS(ROW(),COLUMN(),4),L!$A:$A,0)-1,SL,,)</f>
        <v>「申告（Declaration）」タブのD22セルに会社から正式に認められた代表者の連絡先担当者名を記入してください</v>
      </c>
    </row>
    <row r="13" spans="1:10" ht="27.5">
      <c r="A13" s="80" t="str">
        <f ca="1">Declaration!B24</f>
        <v>回答責任者の電子メール(*):</v>
      </c>
      <c r="B13" s="81" t="str">
        <f>Declaration!D24</f>
        <v>yo.nishi@pp-evonik.com</v>
      </c>
      <c r="C13" s="79" t="str">
        <f t="shared" ca="1" si="3"/>
        <v>記入済</v>
      </c>
      <c r="D13" s="316" t="str">
        <f>IF(H13=1,"Click here to enter Representative's email","")</f>
        <v/>
      </c>
      <c r="E13" s="16" t="s">
        <v>18916</v>
      </c>
      <c r="F13" s="83">
        <v>1</v>
      </c>
      <c r="G13" s="62">
        <f>IF(ISNUMBER(SEARCH("@",B13)),0,1)</f>
        <v>0</v>
      </c>
      <c r="H13" s="63">
        <f t="shared" si="2"/>
        <v>0</v>
      </c>
      <c r="I13" s="131" t="str">
        <f ca="1">OFFSET(L!$C$1,MATCH("Checker"&amp;"Comp",L!$A:$A,0)-1,SL,,)</f>
        <v>記入済</v>
      </c>
      <c r="J13" s="359" t="str">
        <f ca="1">OFFSET(L!$C$1,MATCH("Checker"&amp;ADDRESS(ROW(),COLUMN(),4),L!$A:$A,0)-1,SL,,)</f>
        <v>「申告（Declaration）」タブのD24セルに会社から正式に認められた代表者の有効な電子メールを記入してください</v>
      </c>
    </row>
    <row r="14" spans="1:10" ht="22" customHeight="1">
      <c r="A14" s="80"/>
      <c r="B14" s="79"/>
      <c r="C14" s="79"/>
      <c r="D14" s="85"/>
      <c r="E14" s="16" t="s">
        <v>15</v>
      </c>
      <c r="F14" s="83"/>
      <c r="G14" s="62"/>
      <c r="H14" s="63">
        <f>F14*G14</f>
        <v>0</v>
      </c>
      <c r="I14" s="131"/>
    </row>
    <row r="15" spans="1:10" ht="41">
      <c r="A15" s="80" t="str">
        <f ca="1">Declaration!B26</f>
        <v xml:space="preserve"> 記入日(*):</v>
      </c>
      <c r="B15" s="81">
        <f>Declaration!D26</f>
        <v>45825</v>
      </c>
      <c r="C15" s="79" t="str">
        <f t="shared" ca="1" si="3"/>
        <v>記入済</v>
      </c>
      <c r="D15" s="316" t="str">
        <f>IF(H15=1,"Click here to enter Date of Completion","")</f>
        <v/>
      </c>
      <c r="E15" s="16" t="s">
        <v>15</v>
      </c>
      <c r="F15" s="83">
        <v>1</v>
      </c>
      <c r="G15" s="62">
        <f t="shared" si="4"/>
        <v>0</v>
      </c>
      <c r="H15" s="63">
        <f t="shared" si="2"/>
        <v>0</v>
      </c>
      <c r="I15" s="131" t="str">
        <f ca="1">OFFSET(L!$C$1,MATCH("Checker"&amp;"Comp",L!$A:$A,0)-1,SL,,)</f>
        <v>記入済</v>
      </c>
      <c r="J15" s="15" t="str">
        <f ca="1">OFFSET(L!$C$1,MATCH("Checker"&amp;ADDRESS(ROW(),COLUMN(),4),L!$A:$A,0)-1,SL,,)</f>
        <v>「申告（Declaration）」タブのD26セルに書式への記入日を記入してください</v>
      </c>
    </row>
    <row r="16" spans="1:10" ht="25" customHeight="1">
      <c r="A16" s="79" t="str">
        <f ca="1">Declaration!B29</f>
        <v>1）製品自体や製造過程で、対象となる鉱物が意図的に添加又は使用されていますか？ （*）</v>
      </c>
      <c r="B16" s="82"/>
      <c r="C16" s="82"/>
      <c r="D16" s="86"/>
      <c r="E16" s="16" t="s">
        <v>16</v>
      </c>
      <c r="F16" s="83"/>
      <c r="H16" s="15">
        <f t="shared" si="2"/>
        <v>0</v>
      </c>
    </row>
    <row r="17" spans="1:10" ht="25" customHeight="1">
      <c r="A17" s="80" t="str">
        <f>Declaration!B30</f>
        <v>Cobalt(*)</v>
      </c>
      <c r="B17" s="79" t="str">
        <f>Declaration!D30</f>
        <v>No</v>
      </c>
      <c r="C17" s="79" t="str">
        <f t="shared" ca="1" si="3"/>
        <v>記入済</v>
      </c>
      <c r="D17" s="316" t="str">
        <f>IF(H17=1,"Click here to answer question 1 for specified mineral","")</f>
        <v/>
      </c>
      <c r="E17" s="16" t="s">
        <v>18</v>
      </c>
      <c r="F17" s="323">
        <f>IF(A17="",0,1)</f>
        <v>1</v>
      </c>
      <c r="G17" s="62">
        <f t="shared" si="4"/>
        <v>0</v>
      </c>
      <c r="H17" s="63">
        <f t="shared" si="2"/>
        <v>0</v>
      </c>
      <c r="I17" s="131" t="str">
        <f ca="1">OFFSET(L!$C$1,MATCH("Checker"&amp;"Comp",L!$A:$A,0)-1,SL,,)</f>
        <v>記入済</v>
      </c>
      <c r="J17" s="132" t="str">
        <f ca="1">OFFSET(L!$C$1,MATCH("Checker"&amp;ADDRESS(ROW(),COLUMN(),4),L!$A:$A,0)-1,SL,,)</f>
        <v>対象となる鉱物が貴社製品に意図的に付加された場合は「申告（Declaration）」タブのD30セルに申告してください</v>
      </c>
    </row>
    <row r="18" spans="1:10" ht="25" customHeight="1">
      <c r="A18" s="80" t="str">
        <f>Declaration!B31</f>
        <v>Copper(*)</v>
      </c>
      <c r="B18" s="79" t="str">
        <f>Declaration!D31</f>
        <v>No</v>
      </c>
      <c r="C18" s="79" t="str">
        <f t="shared" ca="1" si="3"/>
        <v>記入済</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記入済</v>
      </c>
      <c r="J18" s="132" t="str">
        <f ca="1">OFFSET(L!$C$1,MATCH("Checker"&amp;ADDRESS(ROW(),COLUMN(),4),L!$A:$A,0)-1,SL,,)</f>
        <v>対象となる鉱物が貴社製品に意図的に付加された場合は「申告（Declaration）」タブのD31セルに申告してください</v>
      </c>
    </row>
    <row r="19" spans="1:10" ht="25" customHeight="1">
      <c r="A19" s="80" t="str">
        <f>Declaration!B32</f>
        <v>Graphite(*)</v>
      </c>
      <c r="B19" s="79" t="str">
        <f>Declaration!D32</f>
        <v>No</v>
      </c>
      <c r="C19" s="79" t="str">
        <f t="shared" ca="1" si="3"/>
        <v>記入済</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記入済</v>
      </c>
      <c r="J19" s="132" t="str">
        <f ca="1">OFFSET(L!$C$1,MATCH("Checker"&amp;ADDRESS(ROW(),COLUMN(),4),L!$A:$A,0)-1,SL,,)</f>
        <v>対象となる鉱物が貴社製品に意図的に付加された場合は「申告（Declaration）」タブのD32セルに申告してください</v>
      </c>
    </row>
    <row r="20" spans="1:10" ht="25" customHeight="1">
      <c r="A20" s="80" t="str">
        <f>Declaration!B33</f>
        <v>Lithium(*)</v>
      </c>
      <c r="B20" s="79" t="str">
        <f>Declaration!D33</f>
        <v>No</v>
      </c>
      <c r="C20" s="79" t="str">
        <f t="shared" ca="1" si="3"/>
        <v>記入済</v>
      </c>
      <c r="D20" s="316" t="str">
        <f t="shared" si="8"/>
        <v/>
      </c>
      <c r="E20" s="16" t="s">
        <v>15</v>
      </c>
      <c r="F20" s="323">
        <f t="shared" si="5"/>
        <v>1</v>
      </c>
      <c r="G20" s="62">
        <f t="shared" si="6"/>
        <v>0</v>
      </c>
      <c r="H20" s="63">
        <f t="shared" si="7"/>
        <v>0</v>
      </c>
      <c r="I20" s="131" t="str">
        <f ca="1">OFFSET(L!$C$1,MATCH("Checker"&amp;"Comp",L!$A:$A,0)-1,SL,,)</f>
        <v>記入済</v>
      </c>
      <c r="J20" s="132" t="str">
        <f ca="1">OFFSET(L!$C$1,MATCH("Checker"&amp;ADDRESS(ROW(),COLUMN(),4),L!$A:$A,0)-1,SL,,)</f>
        <v>対象となる鉱物が貴社製品に意図的に付加された場合は「申告（Declaration）」タブのD33セルに申告してください</v>
      </c>
    </row>
    <row r="21" spans="1:10" ht="25" customHeight="1">
      <c r="A21" s="80" t="str">
        <f>Declaration!B34</f>
        <v>Mica(*)</v>
      </c>
      <c r="B21" s="79" t="str">
        <f>Declaration!D34</f>
        <v>No</v>
      </c>
      <c r="C21" s="79" t="str">
        <f t="shared" ca="1" si="3"/>
        <v>記入済</v>
      </c>
      <c r="D21" s="316" t="str">
        <f t="shared" si="8"/>
        <v/>
      </c>
      <c r="E21" s="16"/>
      <c r="F21" s="323">
        <f t="shared" si="5"/>
        <v>1</v>
      </c>
      <c r="G21" s="62">
        <f t="shared" si="6"/>
        <v>0</v>
      </c>
      <c r="H21" s="63">
        <f t="shared" si="7"/>
        <v>0</v>
      </c>
      <c r="I21" s="131" t="str">
        <f ca="1">OFFSET(L!$C$1,MATCH("Checker"&amp;"Comp",L!$A:$A,0)-1,SL,,)</f>
        <v>記入済</v>
      </c>
      <c r="J21" s="132" t="str">
        <f ca="1">OFFSET(L!$C$1,MATCH("Checker"&amp;ADDRESS(ROW(),COLUMN(),4),L!$A:$A,0)-1,SL,,)</f>
        <v>対象となる鉱物が貴社製品に意図的に付加された場合は「申告（Declaration）」タブのD34セルに申告してください</v>
      </c>
    </row>
    <row r="22" spans="1:10" ht="25" customHeight="1">
      <c r="A22" s="80" t="str">
        <f>Declaration!B35</f>
        <v>Nickel(*)</v>
      </c>
      <c r="B22" s="79" t="str">
        <f>Declaration!D35</f>
        <v>No</v>
      </c>
      <c r="C22" s="79" t="str">
        <f t="shared" ca="1" si="3"/>
        <v>記入済</v>
      </c>
      <c r="D22" s="316" t="str">
        <f t="shared" si="8"/>
        <v/>
      </c>
      <c r="E22" s="16"/>
      <c r="F22" s="323">
        <f t="shared" si="5"/>
        <v>1</v>
      </c>
      <c r="G22" s="62">
        <f t="shared" si="6"/>
        <v>0</v>
      </c>
      <c r="H22" s="63">
        <f t="shared" si="7"/>
        <v>0</v>
      </c>
      <c r="I22" s="131" t="str">
        <f ca="1">OFFSET(L!$C$1,MATCH("Checker"&amp;"Comp",L!$A:$A,0)-1,SL,,)</f>
        <v>記入済</v>
      </c>
      <c r="J22" s="132" t="str">
        <f ca="1">OFFSET(L!$C$1,MATCH("Checker"&amp;ADDRESS(ROW(),COLUMN(),4),L!$A:$A,0)-1,SL,,)</f>
        <v>対象となる鉱物が貴社製品に意図的に付加された場合は「申告（Declaration）」タブのD35セルに申告してください</v>
      </c>
    </row>
    <row r="23" spans="1:10" ht="22" hidden="1" customHeight="1">
      <c r="A23" s="80" t="str">
        <f>Declaration!B36</f>
        <v/>
      </c>
      <c r="B23" s="79" t="str">
        <f>Declaration!D36</f>
        <v>No</v>
      </c>
      <c r="C23" s="79">
        <f t="shared" si="3"/>
        <v>0</v>
      </c>
      <c r="D23" s="85"/>
      <c r="E23" s="16"/>
      <c r="F23" s="323"/>
      <c r="G23" s="62"/>
      <c r="H23" s="63"/>
      <c r="I23" s="131"/>
      <c r="J23" s="132"/>
    </row>
    <row r="24" spans="1:10" ht="22" hidden="1" customHeight="1">
      <c r="A24" s="80" t="str">
        <f>Declaration!B37</f>
        <v/>
      </c>
      <c r="B24" s="79" t="str">
        <f>Declaration!D37</f>
        <v>No</v>
      </c>
      <c r="C24" s="79">
        <f t="shared" si="3"/>
        <v>0</v>
      </c>
      <c r="D24" s="85"/>
      <c r="E24" s="16"/>
      <c r="F24" s="323"/>
      <c r="G24" s="62"/>
      <c r="H24" s="63"/>
      <c r="I24" s="131"/>
      <c r="J24" s="132"/>
    </row>
    <row r="25" spans="1:10" ht="22" hidden="1" customHeight="1">
      <c r="A25" s="80" t="str">
        <f>Declaration!B38</f>
        <v/>
      </c>
      <c r="B25" s="79" t="str">
        <f>Declaration!D38</f>
        <v>No</v>
      </c>
      <c r="C25" s="79">
        <f t="shared" si="3"/>
        <v>0</v>
      </c>
      <c r="D25" s="85"/>
      <c r="E25" s="16"/>
      <c r="F25" s="323"/>
      <c r="G25" s="62"/>
      <c r="H25" s="63"/>
      <c r="I25" s="131"/>
      <c r="J25" s="132"/>
    </row>
    <row r="26" spans="1:10" ht="22" hidden="1" customHeight="1">
      <c r="A26" s="80" t="str">
        <f>Declaration!B39</f>
        <v/>
      </c>
      <c r="B26" s="79" t="str">
        <f>Declaration!D39</f>
        <v>No</v>
      </c>
      <c r="C26" s="79">
        <f t="shared" si="3"/>
        <v>0</v>
      </c>
      <c r="D26" s="85"/>
      <c r="E26" s="16"/>
      <c r="F26" s="323"/>
      <c r="G26" s="62"/>
      <c r="H26" s="63"/>
      <c r="I26" s="131"/>
      <c r="J26" s="132"/>
    </row>
    <row r="27" spans="1:10" ht="25" customHeight="1">
      <c r="A27" s="79" t="str">
        <f ca="1">Declaration!B41</f>
        <v>2）対象となる鉱物は製品に残留していますか？(*)</v>
      </c>
      <c r="B27" s="82"/>
      <c r="C27" s="82"/>
      <c r="D27" s="86"/>
      <c r="E27" s="16" t="s">
        <v>15</v>
      </c>
      <c r="F27" s="83"/>
      <c r="J27" s="132"/>
    </row>
    <row r="28" spans="1:10" ht="41">
      <c r="A28" s="80" t="str">
        <f>Declaration!B42</f>
        <v>Cobalt</v>
      </c>
      <c r="B28" s="79">
        <f>Declaration!D42</f>
        <v>0</v>
      </c>
      <c r="C28" s="136" t="str">
        <f t="shared" ref="C28:C37" ca="1" si="9">IF(H28=1,J28,I28)</f>
        <v>記入済</v>
      </c>
      <c r="D28" s="316" t="str">
        <f>IF(H28=1,"Click here to answer question 2 for specified mineral","")</f>
        <v/>
      </c>
      <c r="E28" s="16" t="s">
        <v>15</v>
      </c>
      <c r="F28" s="84">
        <f>IF(OR(A17="",B17="No",B17="Unknown",B17="Not declaring"),0,1)</f>
        <v>0</v>
      </c>
      <c r="G28" s="62">
        <f>IF(B28=0,1,0)</f>
        <v>1</v>
      </c>
      <c r="H28" s="63">
        <f>F28*G28</f>
        <v>0</v>
      </c>
      <c r="I28" s="131" t="str">
        <f ca="1">OFFSET(L!$C$1,MATCH("Checker"&amp;"Comp",L!$A:$A,0)-1,SL,,)</f>
        <v>記入済</v>
      </c>
      <c r="J28" s="15" t="str">
        <f ca="1">OFFSET(L!$C$1,MATCH("Checker"&amp;ADDRESS(ROW(),COLUMN(),4),L!$A:$A,0)-1,SL,,)</f>
        <v>対象となる鉱物が貴社製品の製造に必要で、申告されている最終製品内に含まれる場合は、「申告（Declaration）」タブのD42セルで申告してください</v>
      </c>
    </row>
    <row r="29" spans="1:10" ht="41">
      <c r="A29" s="80" t="str">
        <f>Declaration!B43</f>
        <v>Copper</v>
      </c>
      <c r="B29" s="79">
        <f>Declaration!D43</f>
        <v>0</v>
      </c>
      <c r="C29" s="136" t="str">
        <f t="shared" ca="1" si="9"/>
        <v>記入済</v>
      </c>
      <c r="D29" s="316" t="str">
        <f t="shared" ref="D29:D33" si="10">IF(H29=1,"Click here to answer question 2 for specified mineral","")</f>
        <v/>
      </c>
      <c r="E29" s="16" t="s">
        <v>15</v>
      </c>
      <c r="F29" s="84">
        <f t="shared" ref="F29:F33" si="11">IF(OR(A18="",B18="No",B18="Unknown",B18="Not declaring"),0,1)</f>
        <v>0</v>
      </c>
      <c r="G29" s="62">
        <f t="shared" ref="G29:G33" si="12">IF(B29=0,1,0)</f>
        <v>1</v>
      </c>
      <c r="H29" s="63">
        <f t="shared" ref="H29:H33" si="13">F29*G29</f>
        <v>0</v>
      </c>
      <c r="I29" s="131" t="str">
        <f ca="1">OFFSET(L!$C$1,MATCH("Checker"&amp;"Comp",L!$A:$A,0)-1,SL,,)</f>
        <v>記入済</v>
      </c>
      <c r="J29" s="15" t="str">
        <f ca="1">OFFSET(L!$C$1,MATCH("Checker"&amp;ADDRESS(ROW(),COLUMN(),4),L!$A:$A,0)-1,SL,,)</f>
        <v>対象となる鉱物が貴社製品の製造に必要で、申告されている最終製品内に含まれる場合は、「申告（Declaration）」タブのD43セルで申告してください</v>
      </c>
    </row>
    <row r="30" spans="1:10" ht="14.5">
      <c r="A30" s="80" t="str">
        <f>Declaration!B44</f>
        <v>Graphite</v>
      </c>
      <c r="B30" s="79">
        <f>Declaration!D44</f>
        <v>0</v>
      </c>
      <c r="C30" s="136" t="str">
        <f t="shared" ca="1" si="9"/>
        <v>記入済</v>
      </c>
      <c r="D30" s="316" t="str">
        <f t="shared" si="10"/>
        <v/>
      </c>
      <c r="E30" s="16"/>
      <c r="F30" s="84">
        <f t="shared" si="11"/>
        <v>0</v>
      </c>
      <c r="G30" s="62">
        <f t="shared" si="12"/>
        <v>1</v>
      </c>
      <c r="H30" s="63">
        <f t="shared" si="13"/>
        <v>0</v>
      </c>
      <c r="I30" s="131" t="str">
        <f ca="1">OFFSET(L!$C$1,MATCH("Checker"&amp;"Comp",L!$A:$A,0)-1,SL,,)</f>
        <v>記入済</v>
      </c>
      <c r="J30" s="15" t="str">
        <f ca="1">OFFSET(L!$C$1,MATCH("Checker"&amp;ADDRESS(ROW(),COLUMN(),4),L!$A:$A,0)-1,SL,,)</f>
        <v>対象となる鉱物が貴社製品の製造に必要で、申告されている最終製品内に含まれる場合は、「申告（Declaration）」タブのD44セルで申告してください</v>
      </c>
    </row>
    <row r="31" spans="1:10" ht="14.5">
      <c r="A31" s="80" t="str">
        <f>Declaration!B45</f>
        <v>Lithium</v>
      </c>
      <c r="B31" s="79">
        <f>Declaration!D45</f>
        <v>0</v>
      </c>
      <c r="C31" s="136" t="str">
        <f t="shared" ca="1" si="9"/>
        <v>記入済</v>
      </c>
      <c r="D31" s="316" t="str">
        <f t="shared" si="10"/>
        <v/>
      </c>
      <c r="E31" s="16"/>
      <c r="F31" s="84">
        <f t="shared" si="11"/>
        <v>0</v>
      </c>
      <c r="G31" s="62">
        <f t="shared" si="12"/>
        <v>1</v>
      </c>
      <c r="H31" s="63">
        <f t="shared" si="13"/>
        <v>0</v>
      </c>
      <c r="I31" s="131" t="str">
        <f ca="1">OFFSET(L!$C$1,MATCH("Checker"&amp;"Comp",L!$A:$A,0)-1,SL,,)</f>
        <v>記入済</v>
      </c>
      <c r="J31" s="15" t="str">
        <f ca="1">OFFSET(L!$C$1,MATCH("Checker"&amp;ADDRESS(ROW(),COLUMN(),4),L!$A:$A,0)-1,SL,,)</f>
        <v>対象となる鉱物が貴社製品の製造に必要で、申告されている最終製品内に含まれる場合は、「申告（Declaration）」タブのD45セルで申告してください</v>
      </c>
    </row>
    <row r="32" spans="1:10" ht="14.5">
      <c r="A32" s="80" t="str">
        <f>Declaration!B46</f>
        <v>Mica</v>
      </c>
      <c r="B32" s="79">
        <f>Declaration!D46</f>
        <v>0</v>
      </c>
      <c r="C32" s="136" t="str">
        <f t="shared" ca="1" si="9"/>
        <v>記入済</v>
      </c>
      <c r="D32" s="316" t="str">
        <f t="shared" si="10"/>
        <v/>
      </c>
      <c r="E32" s="16"/>
      <c r="F32" s="84">
        <f t="shared" si="11"/>
        <v>0</v>
      </c>
      <c r="G32" s="62">
        <f t="shared" si="12"/>
        <v>1</v>
      </c>
      <c r="H32" s="63">
        <f t="shared" si="13"/>
        <v>0</v>
      </c>
      <c r="I32" s="131" t="str">
        <f ca="1">OFFSET(L!$C$1,MATCH("Checker"&amp;"Comp",L!$A:$A,0)-1,SL,,)</f>
        <v>記入済</v>
      </c>
      <c r="J32" s="15" t="str">
        <f ca="1">OFFSET(L!$C$1,MATCH("Checker"&amp;ADDRESS(ROW(),COLUMN(),4),L!$A:$A,0)-1,SL,,)</f>
        <v>対象となる鉱物が貴社製品の製造に必要で、申告されている最終製品内に含まれる場合は、「申告（Declaration）」タブのD46セルで申告してください</v>
      </c>
    </row>
    <row r="33" spans="1:10" ht="14.5">
      <c r="A33" s="80" t="str">
        <f>Declaration!B47</f>
        <v>Nickel</v>
      </c>
      <c r="B33" s="79">
        <f>Declaration!D47</f>
        <v>0</v>
      </c>
      <c r="C33" s="136" t="str">
        <f t="shared" ca="1" si="9"/>
        <v>記入済</v>
      </c>
      <c r="D33" s="316" t="str">
        <f t="shared" si="10"/>
        <v/>
      </c>
      <c r="E33" s="16"/>
      <c r="F33" s="84">
        <f t="shared" si="11"/>
        <v>0</v>
      </c>
      <c r="G33" s="62">
        <f t="shared" si="12"/>
        <v>1</v>
      </c>
      <c r="H33" s="63">
        <f t="shared" si="13"/>
        <v>0</v>
      </c>
      <c r="I33" s="131" t="str">
        <f ca="1">OFFSET(L!$C$1,MATCH("Checker"&amp;"Comp",L!$A:$A,0)-1,SL,,)</f>
        <v>記入済</v>
      </c>
      <c r="J33" s="15" t="str">
        <f ca="1">OFFSET(L!$C$1,MATCH("Checker"&amp;ADDRESS(ROW(),COLUMN(),4),L!$A:$A,0)-1,SL,,)</f>
        <v>対象となる鉱物が貴社製品の製造に必要で、申告されている最終製品内に含まれる場合は、「申告（Declaration）」タブのD47セルで申告してください</v>
      </c>
    </row>
    <row r="34" spans="1:10" ht="22" hidden="1" customHeight="1">
      <c r="A34" s="80" t="str">
        <f>Declaration!B48</f>
        <v/>
      </c>
      <c r="B34" s="79">
        <f>Declaration!D48</f>
        <v>0</v>
      </c>
      <c r="C34" s="136">
        <f t="shared" si="9"/>
        <v>0</v>
      </c>
      <c r="D34" s="229"/>
      <c r="E34" s="16"/>
      <c r="F34" s="84"/>
      <c r="G34" s="62"/>
      <c r="H34" s="63"/>
      <c r="I34" s="131"/>
    </row>
    <row r="35" spans="1:10" ht="22" hidden="1" customHeight="1">
      <c r="A35" s="80" t="str">
        <f>Declaration!B49</f>
        <v/>
      </c>
      <c r="B35" s="79">
        <f>Declaration!D49</f>
        <v>0</v>
      </c>
      <c r="C35" s="136">
        <f t="shared" si="9"/>
        <v>0</v>
      </c>
      <c r="D35" s="229"/>
      <c r="E35" s="16"/>
      <c r="F35" s="84"/>
      <c r="G35" s="62"/>
      <c r="H35" s="63"/>
      <c r="I35" s="131"/>
    </row>
    <row r="36" spans="1:10" ht="22" hidden="1" customHeight="1">
      <c r="A36" s="80" t="str">
        <f>Declaration!B50</f>
        <v/>
      </c>
      <c r="B36" s="79">
        <f>Declaration!D50</f>
        <v>0</v>
      </c>
      <c r="C36" s="136">
        <f t="shared" si="9"/>
        <v>0</v>
      </c>
      <c r="D36" s="229"/>
      <c r="E36" s="16"/>
      <c r="F36" s="84"/>
      <c r="G36" s="62"/>
      <c r="H36" s="63"/>
      <c r="I36" s="131"/>
    </row>
    <row r="37" spans="1:10" ht="22" hidden="1" customHeight="1">
      <c r="A37" s="80" t="str">
        <f>Declaration!B51</f>
        <v/>
      </c>
      <c r="B37" s="79">
        <f>Declaration!D51</f>
        <v>0</v>
      </c>
      <c r="C37" s="136">
        <f t="shared" si="9"/>
        <v>0</v>
      </c>
      <c r="D37" s="229"/>
      <c r="E37" s="16"/>
      <c r="F37" s="84"/>
      <c r="G37" s="62"/>
      <c r="H37" s="63"/>
      <c r="I37" s="131"/>
    </row>
    <row r="38" spans="1:10" ht="25" customHeight="1">
      <c r="A38" s="79" t="str">
        <f ca="1">Declaration!B53</f>
        <v>3）貴社サプライチェーン内の製錬業者又は加工業者のいずれかが、紛争地域および高リスク地域を対象となる鉱物の原産地としていますか？（OECDデュー・ディリジェンスガイダンスの「定義（Definitions）」タブを参照） (*)
(*)</v>
      </c>
      <c r="B38" s="82"/>
      <c r="C38" s="82"/>
      <c r="D38" s="86"/>
      <c r="E38" s="16" t="s">
        <v>15</v>
      </c>
      <c r="F38" s="83"/>
      <c r="J38" s="132"/>
    </row>
    <row r="39" spans="1:10" ht="41">
      <c r="A39" s="80" t="str">
        <f>Declaration!B54</f>
        <v>Cobalt</v>
      </c>
      <c r="B39" s="79">
        <f>Declaration!D54</f>
        <v>0</v>
      </c>
      <c r="C39" s="136" t="str">
        <f t="shared" ca="1" si="3"/>
        <v>記入済</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記入済</v>
      </c>
      <c r="J39" s="15" t="str">
        <f ca="1">OFFSET(L!$C$1,MATCH("Checker"&amp;ADDRESS(ROW(),COLUMN(),4),L!$A:$A,0)-1,SL,,)</f>
        <v>本調査回答で申告された製品範囲内で使用される対象となる鉱物が、紛争地域および高リスク地域を原産としている場合、「申告（Declaration）」タブのD54セルで申告してください</v>
      </c>
    </row>
    <row r="40" spans="1:10" ht="41">
      <c r="A40" s="80" t="str">
        <f>Declaration!B55</f>
        <v>Copper</v>
      </c>
      <c r="B40" s="79">
        <f>Declaration!D55</f>
        <v>0</v>
      </c>
      <c r="C40" s="136" t="str">
        <f t="shared" ca="1" si="3"/>
        <v>記入済</v>
      </c>
      <c r="D40" s="318" t="str">
        <f t="shared" ref="D40:D44" si="16">IF(H40=1,"Click here to answer question 3 for Specified mineral","")</f>
        <v/>
      </c>
      <c r="E40" s="16" t="s">
        <v>15</v>
      </c>
      <c r="F40" s="84">
        <f t="shared" ref="F40:F44" si="17">IF(OR(A18="",B18="No",B18="Unknown",B18="Not declaring",B29="No",B29="Unknown"),0,1)</f>
        <v>0</v>
      </c>
      <c r="G40" s="62">
        <f t="shared" ref="G40:G44" si="18">IF(B40=0,1,0)</f>
        <v>1</v>
      </c>
      <c r="H40" s="63">
        <f t="shared" ref="H40:H44" si="19">F40*G40</f>
        <v>0</v>
      </c>
      <c r="I40" s="131" t="str">
        <f ca="1">OFFSET(L!$C$1,MATCH("Checker"&amp;"Comp",L!$A:$A,0)-1,SL,,)</f>
        <v>記入済</v>
      </c>
      <c r="J40" s="15" t="str">
        <f ca="1">OFFSET(L!$C$1,MATCH("Checker"&amp;ADDRESS(ROW(),COLUMN(),4),L!$A:$A,0)-1,SL,,)</f>
        <v>本調査回答で申告された製品範囲内で使用される対象となる鉱物が、紛争地域および高リスク地域を原産としている場合、「申告（Declaration）」タブのD55セルで申告してください</v>
      </c>
    </row>
    <row r="41" spans="1:10" ht="14.5">
      <c r="A41" s="80" t="str">
        <f>Declaration!B56</f>
        <v>Graphite</v>
      </c>
      <c r="B41" s="79">
        <f>Declaration!D56</f>
        <v>0</v>
      </c>
      <c r="C41" s="136" t="str">
        <f t="shared" ca="1" si="3"/>
        <v>記入済</v>
      </c>
      <c r="D41" s="318" t="str">
        <f t="shared" si="16"/>
        <v/>
      </c>
      <c r="E41" s="16"/>
      <c r="F41" s="84">
        <f t="shared" si="17"/>
        <v>0</v>
      </c>
      <c r="G41" s="62">
        <f t="shared" si="18"/>
        <v>1</v>
      </c>
      <c r="H41" s="63">
        <f t="shared" si="19"/>
        <v>0</v>
      </c>
      <c r="I41" s="131" t="str">
        <f ca="1">OFFSET(L!$C$1,MATCH("Checker"&amp;"Comp",L!$A:$A,0)-1,SL,,)</f>
        <v>記入済</v>
      </c>
      <c r="J41" s="15" t="str">
        <f ca="1">OFFSET(L!$C$1,MATCH("Checker"&amp;ADDRESS(ROW(),COLUMN(),4),L!$A:$A,0)-1,SL,,)</f>
        <v>本調査回答で申告された製品範囲内で使用される対象となる鉱物が、紛争地域および高リスク地域を原産としている場合、「申告（Declaration）」タブのD56セルで申告してください</v>
      </c>
    </row>
    <row r="42" spans="1:10" ht="14.5">
      <c r="A42" s="80" t="str">
        <f>Declaration!B57</f>
        <v>Lithium</v>
      </c>
      <c r="B42" s="79">
        <f>Declaration!D57</f>
        <v>0</v>
      </c>
      <c r="C42" s="136" t="str">
        <f t="shared" ca="1" si="3"/>
        <v>記入済</v>
      </c>
      <c r="D42" s="318" t="str">
        <f t="shared" si="16"/>
        <v/>
      </c>
      <c r="E42" s="16"/>
      <c r="F42" s="84">
        <f t="shared" si="17"/>
        <v>0</v>
      </c>
      <c r="G42" s="62">
        <f t="shared" si="18"/>
        <v>1</v>
      </c>
      <c r="H42" s="63">
        <f t="shared" si="19"/>
        <v>0</v>
      </c>
      <c r="I42" s="131" t="str">
        <f ca="1">OFFSET(L!$C$1,MATCH("Checker"&amp;"Comp",L!$A:$A,0)-1,SL,,)</f>
        <v>記入済</v>
      </c>
      <c r="J42" s="15" t="str">
        <f ca="1">OFFSET(L!$C$1,MATCH("Checker"&amp;ADDRESS(ROW(),COLUMN(),4),L!$A:$A,0)-1,SL,,)</f>
        <v>本調査回答で申告された製品範囲内で使用される対象となる鉱物が、紛争地域および高リスク地域を原産としている場合、「申告（Declaration）」タブのD57セルで申告してください</v>
      </c>
    </row>
    <row r="43" spans="1:10" ht="14.5">
      <c r="A43" s="80" t="str">
        <f>Declaration!B58</f>
        <v>Mica</v>
      </c>
      <c r="B43" s="79">
        <f>Declaration!D58</f>
        <v>0</v>
      </c>
      <c r="C43" s="136" t="str">
        <f t="shared" ca="1" si="3"/>
        <v>記入済</v>
      </c>
      <c r="D43" s="318" t="str">
        <f t="shared" si="16"/>
        <v/>
      </c>
      <c r="E43" s="16"/>
      <c r="F43" s="84">
        <f t="shared" si="17"/>
        <v>0</v>
      </c>
      <c r="G43" s="62">
        <f t="shared" si="18"/>
        <v>1</v>
      </c>
      <c r="H43" s="63">
        <f t="shared" si="19"/>
        <v>0</v>
      </c>
      <c r="I43" s="131" t="str">
        <f ca="1">OFFSET(L!$C$1,MATCH("Checker"&amp;"Comp",L!$A:$A,0)-1,SL,,)</f>
        <v>記入済</v>
      </c>
      <c r="J43" s="15" t="str">
        <f ca="1">OFFSET(L!$C$1,MATCH("Checker"&amp;ADDRESS(ROW(),COLUMN(),4),L!$A:$A,0)-1,SL,,)</f>
        <v>本調査回答で申告された製品範囲内で使用される対象となる鉱物が、紛争地域および高リスク地域を原産としている場合、「申告（Declaration）」タブのD58セルで申告してください</v>
      </c>
    </row>
    <row r="44" spans="1:10" ht="14.5">
      <c r="A44" s="80" t="str">
        <f>Declaration!B59</f>
        <v>Nickel</v>
      </c>
      <c r="B44" s="79">
        <f>Declaration!D59</f>
        <v>0</v>
      </c>
      <c r="C44" s="136" t="str">
        <f t="shared" ca="1" si="3"/>
        <v>記入済</v>
      </c>
      <c r="D44" s="318" t="str">
        <f t="shared" si="16"/>
        <v/>
      </c>
      <c r="E44" s="16"/>
      <c r="F44" s="84">
        <f t="shared" si="17"/>
        <v>0</v>
      </c>
      <c r="G44" s="62">
        <f t="shared" si="18"/>
        <v>1</v>
      </c>
      <c r="H44" s="63">
        <f t="shared" si="19"/>
        <v>0</v>
      </c>
      <c r="I44" s="131" t="str">
        <f ca="1">OFFSET(L!$C$1,MATCH("Checker"&amp;"Comp",L!$A:$A,0)-1,SL,,)</f>
        <v>記入済</v>
      </c>
      <c r="J44" s="15" t="str">
        <f ca="1">OFFSET(L!$C$1,MATCH("Checker"&amp;ADDRESS(ROW(),COLUMN(),4),L!$A:$A,0)-1,SL,,)</f>
        <v>本調査回答で申告された製品範囲内で使用される対象となる鉱物が、紛争地域および高リスク地域を原産としている場合、「申告（Declaration）」タブのD59セルで申告してください</v>
      </c>
    </row>
    <row r="45" spans="1:10" ht="22" hidden="1" customHeight="1">
      <c r="A45" s="80" t="str">
        <f>Declaration!B60</f>
        <v/>
      </c>
      <c r="B45" s="79">
        <f>Declaration!D60</f>
        <v>0</v>
      </c>
      <c r="C45" s="136">
        <f t="shared" si="3"/>
        <v>0</v>
      </c>
      <c r="D45" s="229"/>
      <c r="E45" s="16"/>
      <c r="F45" s="84"/>
      <c r="G45" s="62"/>
      <c r="H45" s="63"/>
      <c r="I45" s="131"/>
    </row>
    <row r="46" spans="1:10" ht="22" hidden="1" customHeight="1">
      <c r="A46" s="80" t="str">
        <f>Declaration!B61</f>
        <v/>
      </c>
      <c r="B46" s="79">
        <f>Declaration!D61</f>
        <v>0</v>
      </c>
      <c r="C46" s="136">
        <f t="shared" si="3"/>
        <v>0</v>
      </c>
      <c r="D46" s="229"/>
      <c r="E46" s="16"/>
      <c r="F46" s="84"/>
      <c r="G46" s="62"/>
      <c r="H46" s="63"/>
      <c r="I46" s="131"/>
    </row>
    <row r="47" spans="1:10" ht="22" hidden="1" customHeight="1">
      <c r="A47" s="80" t="str">
        <f>Declaration!B62</f>
        <v/>
      </c>
      <c r="B47" s="79">
        <f>Declaration!D62</f>
        <v>0</v>
      </c>
      <c r="C47" s="136">
        <f t="shared" si="3"/>
        <v>0</v>
      </c>
      <c r="D47" s="229"/>
      <c r="E47" s="16"/>
      <c r="F47" s="84"/>
      <c r="G47" s="62"/>
      <c r="H47" s="63"/>
      <c r="I47" s="131"/>
    </row>
    <row r="48" spans="1:10" ht="22" hidden="1" customHeight="1">
      <c r="A48" s="80" t="str">
        <f>Declaration!B63</f>
        <v/>
      </c>
      <c r="B48" s="79">
        <f>Declaration!D63</f>
        <v>0</v>
      </c>
      <c r="C48" s="136">
        <f t="shared" si="3"/>
        <v>0</v>
      </c>
      <c r="D48" s="87"/>
      <c r="E48" s="16" t="s">
        <v>15</v>
      </c>
      <c r="F48" s="84"/>
      <c r="G48" s="62"/>
      <c r="H48" s="63"/>
      <c r="I48" s="131"/>
    </row>
    <row r="49" spans="1:10" ht="25" customHeight="1">
      <c r="A49" s="79" t="str">
        <f ca="1">Declaration!B65</f>
        <v>4）対象となる鉱物は全て、再生利用品又はスクラップ起源から調達していますか？(*)</v>
      </c>
      <c r="B49" s="82"/>
      <c r="C49" s="82"/>
      <c r="D49" s="86"/>
      <c r="E49" s="16" t="s">
        <v>15</v>
      </c>
      <c r="F49" s="83"/>
      <c r="J49" s="132"/>
    </row>
    <row r="50" spans="1:10" ht="55.5" customHeight="1">
      <c r="A50" s="80" t="str">
        <f>Declaration!B66</f>
        <v>Cobalt</v>
      </c>
      <c r="B50" s="79">
        <f>Declaration!D66</f>
        <v>0</v>
      </c>
      <c r="C50" s="136" t="str">
        <f ca="1">IF(H50=1,J50,I50)</f>
        <v>記入済</v>
      </c>
      <c r="D50" s="318" t="str">
        <f>IF(H50=1,"Click here to answer question 4 for specified mineral","")</f>
        <v/>
      </c>
      <c r="E50" s="16" t="s">
        <v>15</v>
      </c>
      <c r="F50" s="84">
        <f>F39</f>
        <v>0</v>
      </c>
      <c r="G50" s="62">
        <f>IF(B50=0,1,0)</f>
        <v>1</v>
      </c>
      <c r="H50" s="63">
        <f>F50*G50</f>
        <v>0</v>
      </c>
      <c r="I50" s="131" t="str">
        <f ca="1">OFFSET(L!$C$1,MATCH("Checker"&amp;"Comp",L!$A:$A,0)-1,SL,,)</f>
        <v>記入済</v>
      </c>
      <c r="J50" s="132" t="str">
        <f ca="1">OFFSET(L!$C$1,MATCH("Checker"&amp;ADDRESS(ROW(),COLUMN(),4),L!$A:$A,0)-1,SL,,)</f>
        <v>本調査回答で申告された製品範囲内で使用される対象となる鉱物の100%が再生利用品およびスクラップ起源を由来としている場合は、「申告（Declaration）」タブのD66セルに申告してください</v>
      </c>
    </row>
    <row r="51" spans="1:10" ht="55.5" customHeight="1">
      <c r="A51" s="80" t="str">
        <f>Declaration!B67</f>
        <v>Copper</v>
      </c>
      <c r="B51" s="79">
        <f>Declaration!D67</f>
        <v>0</v>
      </c>
      <c r="C51" s="136" t="str">
        <f t="shared" ref="C51:C59" ca="1" si="20">IF(H51=1,J51,I51)</f>
        <v>記入済</v>
      </c>
      <c r="D51" s="318" t="str">
        <f t="shared" ref="D51:D55" si="21">IF(H51=1,"Click here to answer question 4 for specified mineral","")</f>
        <v/>
      </c>
      <c r="E51" s="16"/>
      <c r="F51" s="84">
        <f t="shared" ref="F51:F55" si="22">F40</f>
        <v>0</v>
      </c>
      <c r="G51" s="62">
        <f t="shared" ref="G51:G55" si="23">IF(B51=0,1,0)</f>
        <v>1</v>
      </c>
      <c r="H51" s="63">
        <f t="shared" ref="H51:H55" si="24">F51*G51</f>
        <v>0</v>
      </c>
      <c r="I51" s="131" t="str">
        <f ca="1">OFFSET(L!$C$1,MATCH("Checker"&amp;"Comp",L!$A:$A,0)-1,SL,,)</f>
        <v>記入済</v>
      </c>
      <c r="J51" s="132" t="str">
        <f ca="1">OFFSET(L!$C$1,MATCH("Checker"&amp;ADDRESS(ROW(),COLUMN(),4),L!$A:$A,0)-1,SL,,)</f>
        <v>本調査回答で申告された製品範囲内で使用される対象となる鉱物の100%が再生利用品およびスクラップ起源を由来としている場合は、「申告（Declaration）」タブのD67セルに申告してください</v>
      </c>
    </row>
    <row r="52" spans="1:10" ht="55.5" customHeight="1">
      <c r="A52" s="80" t="str">
        <f>Declaration!B68</f>
        <v>Graphite</v>
      </c>
      <c r="B52" s="79">
        <f>Declaration!D68</f>
        <v>0</v>
      </c>
      <c r="C52" s="136" t="str">
        <f t="shared" ca="1" si="20"/>
        <v>記入済</v>
      </c>
      <c r="D52" s="318" t="str">
        <f t="shared" si="21"/>
        <v/>
      </c>
      <c r="E52" s="16"/>
      <c r="F52" s="84">
        <f t="shared" si="22"/>
        <v>0</v>
      </c>
      <c r="G52" s="62">
        <f t="shared" si="23"/>
        <v>1</v>
      </c>
      <c r="H52" s="63">
        <f t="shared" si="24"/>
        <v>0</v>
      </c>
      <c r="I52" s="131" t="str">
        <f ca="1">OFFSET(L!$C$1,MATCH("Checker"&amp;"Comp",L!$A:$A,0)-1,SL,,)</f>
        <v>記入済</v>
      </c>
      <c r="J52" s="132" t="str">
        <f ca="1">OFFSET(L!$C$1,MATCH("Checker"&amp;ADDRESS(ROW(),COLUMN(),4),L!$A:$A,0)-1,SL,,)</f>
        <v>本調査回答で申告された製品範囲内で使用される対象となる鉱物の100%が再生利用品およびスクラップ起源を由来としている場合は、「申告（Declaration）」タブのD68セルに申告してください</v>
      </c>
    </row>
    <row r="53" spans="1:10" ht="55.5" customHeight="1">
      <c r="A53" s="80" t="str">
        <f>Declaration!B69</f>
        <v>Lithium</v>
      </c>
      <c r="B53" s="79">
        <f>Declaration!D69</f>
        <v>0</v>
      </c>
      <c r="C53" s="136" t="str">
        <f t="shared" ca="1" si="20"/>
        <v>記入済</v>
      </c>
      <c r="D53" s="318" t="str">
        <f t="shared" si="21"/>
        <v/>
      </c>
      <c r="E53" s="16"/>
      <c r="F53" s="84">
        <f t="shared" si="22"/>
        <v>0</v>
      </c>
      <c r="G53" s="62">
        <f t="shared" si="23"/>
        <v>1</v>
      </c>
      <c r="H53" s="63">
        <f t="shared" si="24"/>
        <v>0</v>
      </c>
      <c r="I53" s="131" t="str">
        <f ca="1">OFFSET(L!$C$1,MATCH("Checker"&amp;"Comp",L!$A:$A,0)-1,SL,,)</f>
        <v>記入済</v>
      </c>
      <c r="J53" s="132" t="str">
        <f ca="1">OFFSET(L!$C$1,MATCH("Checker"&amp;ADDRESS(ROW(),COLUMN(),4),L!$A:$A,0)-1,SL,,)</f>
        <v>本調査回答で申告された製品範囲内で使用される対象となる鉱物の100%が再生利用品およびスクラップ起源を由来としている場合は、「申告（Declaration）」タブのD69セルに申告してください</v>
      </c>
    </row>
    <row r="54" spans="1:10" ht="55.5" customHeight="1">
      <c r="A54" s="80" t="str">
        <f>Declaration!B70</f>
        <v>Mica</v>
      </c>
      <c r="B54" s="79">
        <f>Declaration!D70</f>
        <v>0</v>
      </c>
      <c r="C54" s="136" t="str">
        <f t="shared" ca="1" si="20"/>
        <v>記入済</v>
      </c>
      <c r="D54" s="318" t="str">
        <f t="shared" si="21"/>
        <v/>
      </c>
      <c r="E54" s="16"/>
      <c r="F54" s="84">
        <f t="shared" si="22"/>
        <v>0</v>
      </c>
      <c r="G54" s="62">
        <f t="shared" si="23"/>
        <v>1</v>
      </c>
      <c r="H54" s="63">
        <f t="shared" si="24"/>
        <v>0</v>
      </c>
      <c r="I54" s="131" t="str">
        <f ca="1">OFFSET(L!$C$1,MATCH("Checker"&amp;"Comp",L!$A:$A,0)-1,SL,,)</f>
        <v>記入済</v>
      </c>
      <c r="J54" s="132" t="str">
        <f ca="1">OFFSET(L!$C$1,MATCH("Checker"&amp;ADDRESS(ROW(),COLUMN(),4),L!$A:$A,0)-1,SL,,)</f>
        <v>本調査回答で申告された製品範囲内で使用される対象となる鉱物の100%が再生利用品およびスクラップ起源を由来としている場合は、「申告（Declaration）」タブのD70セルに申告してください</v>
      </c>
    </row>
    <row r="55" spans="1:10" ht="55.5" customHeight="1">
      <c r="A55" s="80" t="str">
        <f>Declaration!B71</f>
        <v>Nickel</v>
      </c>
      <c r="B55" s="79">
        <f>Declaration!D71</f>
        <v>0</v>
      </c>
      <c r="C55" s="136" t="str">
        <f t="shared" ca="1" si="20"/>
        <v>記入済</v>
      </c>
      <c r="D55" s="318" t="str">
        <f t="shared" si="21"/>
        <v/>
      </c>
      <c r="E55" s="16"/>
      <c r="F55" s="84">
        <f t="shared" si="22"/>
        <v>0</v>
      </c>
      <c r="G55" s="62">
        <f t="shared" si="23"/>
        <v>1</v>
      </c>
      <c r="H55" s="63">
        <f t="shared" si="24"/>
        <v>0</v>
      </c>
      <c r="I55" s="131" t="str">
        <f ca="1">OFFSET(L!$C$1,MATCH("Checker"&amp;"Comp",L!$A:$A,0)-1,SL,,)</f>
        <v>記入済</v>
      </c>
      <c r="J55" s="132" t="str">
        <f ca="1">OFFSET(L!$C$1,MATCH("Checker"&amp;ADDRESS(ROW(),COLUMN(),4),L!$A:$A,0)-1,SL,,)</f>
        <v>本調査回答で申告された製品範囲内で使用される対象となる鉱物の100%が再生利用品およびスクラップ起源を由来としている場合は、「申告（Declaration）」タブのD71セルに申告してください</v>
      </c>
    </row>
    <row r="56" spans="1:10" ht="22" hidden="1" customHeight="1">
      <c r="A56" s="80" t="str">
        <f>Declaration!B72</f>
        <v/>
      </c>
      <c r="B56" s="79">
        <f>Declaration!D72</f>
        <v>0</v>
      </c>
      <c r="C56" s="136">
        <f t="shared" si="20"/>
        <v>0</v>
      </c>
      <c r="D56" s="193"/>
      <c r="E56" s="16"/>
      <c r="F56" s="84"/>
      <c r="G56" s="62"/>
      <c r="H56" s="63"/>
      <c r="I56" s="131"/>
      <c r="J56" s="132"/>
    </row>
    <row r="57" spans="1:10" ht="22" hidden="1" customHeight="1">
      <c r="A57" s="80" t="str">
        <f>Declaration!B73</f>
        <v/>
      </c>
      <c r="B57" s="79">
        <f>Declaration!D73</f>
        <v>0</v>
      </c>
      <c r="C57" s="136">
        <f t="shared" si="20"/>
        <v>0</v>
      </c>
      <c r="D57" s="87"/>
      <c r="E57" s="16" t="s">
        <v>15</v>
      </c>
      <c r="F57" s="84"/>
      <c r="G57" s="62"/>
      <c r="H57" s="63"/>
      <c r="I57" s="131"/>
      <c r="J57" s="132"/>
    </row>
    <row r="58" spans="1:10" ht="22" hidden="1" customHeight="1">
      <c r="A58" s="80" t="str">
        <f>Declaration!B74</f>
        <v/>
      </c>
      <c r="B58" s="79">
        <f>Declaration!D74</f>
        <v>0</v>
      </c>
      <c r="C58" s="136">
        <f t="shared" si="20"/>
        <v>0</v>
      </c>
      <c r="D58" s="87"/>
      <c r="E58" s="16" t="s">
        <v>15</v>
      </c>
      <c r="F58" s="84"/>
      <c r="G58" s="62"/>
      <c r="H58" s="63"/>
      <c r="I58" s="131"/>
      <c r="J58" s="132"/>
    </row>
    <row r="59" spans="1:10" ht="22" hidden="1" customHeight="1">
      <c r="A59" s="80" t="str">
        <f>Declaration!B75</f>
        <v/>
      </c>
      <c r="B59" s="79">
        <f>Declaration!D75</f>
        <v>0</v>
      </c>
      <c r="C59" s="136">
        <f t="shared" si="20"/>
        <v>0</v>
      </c>
      <c r="D59" s="87"/>
      <c r="E59" s="16" t="s">
        <v>15</v>
      </c>
      <c r="F59" s="84"/>
      <c r="G59" s="62"/>
      <c r="H59" s="63"/>
      <c r="I59" s="131"/>
      <c r="J59" s="132"/>
    </row>
    <row r="60" spans="1:10" ht="25" customHeight="1">
      <c r="A60" s="79" t="str">
        <f ca="1">Declaration!B77</f>
        <v>5）サプライチェーン調査に回答した関連するサプライヤーは何パーセントですか？(*)</v>
      </c>
      <c r="B60" s="82"/>
      <c r="C60" s="82"/>
      <c r="D60" s="86"/>
      <c r="E60" s="16" t="s">
        <v>15</v>
      </c>
      <c r="F60" s="83"/>
    </row>
    <row r="61" spans="1:10" ht="27.5">
      <c r="A61" s="80" t="str">
        <f>Declaration!B78</f>
        <v>Cobalt</v>
      </c>
      <c r="B61" s="79">
        <f>Declaration!D78</f>
        <v>0</v>
      </c>
      <c r="C61" s="136" t="str">
        <f t="shared" ca="1" si="3"/>
        <v>記入済</v>
      </c>
      <c r="D61" s="319" t="str">
        <f>IF(H61=1,"Click here to answer question 5 for specified mineral","")</f>
        <v/>
      </c>
      <c r="E61" s="16" t="s">
        <v>18</v>
      </c>
      <c r="F61" s="84">
        <f>F50</f>
        <v>0</v>
      </c>
      <c r="G61" s="62">
        <f t="shared" si="14"/>
        <v>1</v>
      </c>
      <c r="H61" s="63">
        <f t="shared" si="15"/>
        <v>0</v>
      </c>
      <c r="I61" s="131" t="str">
        <f ca="1">OFFSET(L!$C$1,MATCH("Checker"&amp;"Comp",L!$A:$A,0)-1,SL,,)</f>
        <v>記入済</v>
      </c>
      <c r="J61" s="15" t="str">
        <f ca="1">OFFSET(L!$C$1,MATCH("Checker"&amp;ADDRESS(ROW(),COLUMN(),4),L!$A:$A,0)-1,SL,,)</f>
        <v>サプライヤーの製錬業者情報の回答率を割合（%）で「申告（Declaration）」タブのD78セルに記入してください</v>
      </c>
    </row>
    <row r="62" spans="1:10" ht="27.5">
      <c r="A62" s="80" t="str">
        <f>Declaration!B79</f>
        <v>Copper</v>
      </c>
      <c r="B62" s="79">
        <f>Declaration!D79</f>
        <v>0</v>
      </c>
      <c r="C62" s="136" t="str">
        <f t="shared" ca="1" si="3"/>
        <v>記入済</v>
      </c>
      <c r="D62" s="319" t="str">
        <f t="shared" ref="D62:D66" si="25">IF(H62=1,"Click here to answer question 5 for specified mineral","")</f>
        <v/>
      </c>
      <c r="E62" s="16" t="s">
        <v>18</v>
      </c>
      <c r="F62" s="84">
        <f t="shared" ref="F62:F66" si="26">F51</f>
        <v>0</v>
      </c>
      <c r="G62" s="62">
        <f t="shared" ref="G62:G66" si="27">IF(B62=0,1,0)</f>
        <v>1</v>
      </c>
      <c r="H62" s="63">
        <f t="shared" ref="H62:H66" si="28">F62*G62</f>
        <v>0</v>
      </c>
      <c r="I62" s="131" t="str">
        <f ca="1">OFFSET(L!$C$1,MATCH("Checker"&amp;"Comp",L!$A:$A,0)-1,SL,,)</f>
        <v>記入済</v>
      </c>
      <c r="J62" s="15" t="str">
        <f ca="1">OFFSET(L!$C$1,MATCH("Checker"&amp;ADDRESS(ROW(),COLUMN(),4),L!$A:$A,0)-1,SL,,)</f>
        <v>サプライヤーの製錬業者情報の回答率を割合（%）で「申告（Declaration）」タブのD79セルに記入してください</v>
      </c>
    </row>
    <row r="63" spans="1:10" ht="14.5">
      <c r="A63" s="80" t="str">
        <f>Declaration!B80</f>
        <v>Graphite</v>
      </c>
      <c r="B63" s="79">
        <f>Declaration!D80</f>
        <v>0</v>
      </c>
      <c r="C63" s="136" t="str">
        <f t="shared" ca="1" si="3"/>
        <v>記入済</v>
      </c>
      <c r="D63" s="319" t="str">
        <f t="shared" si="25"/>
        <v/>
      </c>
      <c r="E63" s="16"/>
      <c r="F63" s="84">
        <f t="shared" si="26"/>
        <v>0</v>
      </c>
      <c r="G63" s="62">
        <f t="shared" si="27"/>
        <v>1</v>
      </c>
      <c r="H63" s="63">
        <f t="shared" si="28"/>
        <v>0</v>
      </c>
      <c r="I63" s="131" t="str">
        <f ca="1">OFFSET(L!$C$1,MATCH("Checker"&amp;"Comp",L!$A:$A,0)-1,SL,,)</f>
        <v>記入済</v>
      </c>
      <c r="J63" s="15" t="str">
        <f ca="1">OFFSET(L!$C$1,MATCH("Checker"&amp;ADDRESS(ROW(),COLUMN(),4),L!$A:$A,0)-1,SL,,)</f>
        <v>サプライヤーの製錬業者情報の回答率を割合（%）で「申告（Declaration）」タブのD80セルに記入してください</v>
      </c>
    </row>
    <row r="64" spans="1:10" ht="14.5">
      <c r="A64" s="80" t="str">
        <f>Declaration!B81</f>
        <v>Lithium</v>
      </c>
      <c r="B64" s="79">
        <f>Declaration!D81</f>
        <v>0</v>
      </c>
      <c r="C64" s="136" t="str">
        <f t="shared" ca="1" si="3"/>
        <v>記入済</v>
      </c>
      <c r="D64" s="319" t="str">
        <f t="shared" si="25"/>
        <v/>
      </c>
      <c r="E64" s="16"/>
      <c r="F64" s="84">
        <f t="shared" si="26"/>
        <v>0</v>
      </c>
      <c r="G64" s="62">
        <f t="shared" si="27"/>
        <v>1</v>
      </c>
      <c r="H64" s="63">
        <f t="shared" si="28"/>
        <v>0</v>
      </c>
      <c r="I64" s="131" t="str">
        <f ca="1">OFFSET(L!$C$1,MATCH("Checker"&amp;"Comp",L!$A:$A,0)-1,SL,,)</f>
        <v>記入済</v>
      </c>
      <c r="J64" s="15" t="str">
        <f ca="1">OFFSET(L!$C$1,MATCH("Checker"&amp;ADDRESS(ROW(),COLUMN(),4),L!$A:$A,0)-1,SL,,)</f>
        <v>サプライヤーの製錬業者情報の回答率を割合（%）で「申告（Declaration）」タブのD81セルに記入してください</v>
      </c>
    </row>
    <row r="65" spans="1:10" ht="14.5">
      <c r="A65" s="80" t="str">
        <f>Declaration!B82</f>
        <v>Mica</v>
      </c>
      <c r="B65" s="79">
        <f>Declaration!D82</f>
        <v>0</v>
      </c>
      <c r="C65" s="136" t="str">
        <f t="shared" ca="1" si="3"/>
        <v>記入済</v>
      </c>
      <c r="D65" s="319" t="str">
        <f t="shared" si="25"/>
        <v/>
      </c>
      <c r="E65" s="16"/>
      <c r="F65" s="84">
        <f t="shared" si="26"/>
        <v>0</v>
      </c>
      <c r="G65" s="62">
        <f t="shared" si="27"/>
        <v>1</v>
      </c>
      <c r="H65" s="63">
        <f t="shared" si="28"/>
        <v>0</v>
      </c>
      <c r="I65" s="131" t="str">
        <f ca="1">OFFSET(L!$C$1,MATCH("Checker"&amp;"Comp",L!$A:$A,0)-1,SL,,)</f>
        <v>記入済</v>
      </c>
      <c r="J65" s="15" t="str">
        <f ca="1">OFFSET(L!$C$1,MATCH("Checker"&amp;ADDRESS(ROW(),COLUMN(),4),L!$A:$A,0)-1,SL,,)</f>
        <v>サプライヤーの製錬業者情報の回答率を割合（%）で「申告（Declaration）」タブのD82セルに記入してください</v>
      </c>
    </row>
    <row r="66" spans="1:10" ht="14.5">
      <c r="A66" s="80" t="str">
        <f>Declaration!B83</f>
        <v>Nickel</v>
      </c>
      <c r="B66" s="79">
        <f>Declaration!D83</f>
        <v>0</v>
      </c>
      <c r="C66" s="136" t="str">
        <f t="shared" ca="1" si="3"/>
        <v>記入済</v>
      </c>
      <c r="D66" s="319" t="str">
        <f t="shared" si="25"/>
        <v/>
      </c>
      <c r="E66" s="16"/>
      <c r="F66" s="84">
        <f t="shared" si="26"/>
        <v>0</v>
      </c>
      <c r="G66" s="62">
        <f t="shared" si="27"/>
        <v>1</v>
      </c>
      <c r="H66" s="63">
        <f t="shared" si="28"/>
        <v>0</v>
      </c>
      <c r="I66" s="131" t="str">
        <f ca="1">OFFSET(L!$C$1,MATCH("Checker"&amp;"Comp",L!$A:$A,0)-1,SL,,)</f>
        <v>記入済</v>
      </c>
      <c r="J66" s="15" t="str">
        <f ca="1">OFFSET(L!$C$1,MATCH("Checker"&amp;ADDRESS(ROW(),COLUMN(),4),L!$A:$A,0)-1,SL,,)</f>
        <v>サプライヤーの製錬業者情報の回答率を割合（%）で「申告（Declaration）」タブのD83セルに記入してください</v>
      </c>
    </row>
    <row r="67" spans="1:10" ht="22" hidden="1" customHeight="1">
      <c r="A67" s="80" t="str">
        <f>Declaration!B84</f>
        <v/>
      </c>
      <c r="B67" s="79">
        <f>Declaration!D84</f>
        <v>0</v>
      </c>
      <c r="C67" s="136">
        <f t="shared" si="3"/>
        <v>0</v>
      </c>
      <c r="D67" s="85"/>
      <c r="E67" s="16"/>
      <c r="F67" s="84"/>
      <c r="G67" s="62"/>
      <c r="H67" s="63"/>
      <c r="I67" s="131"/>
    </row>
    <row r="68" spans="1:10" ht="22" hidden="1" customHeight="1">
      <c r="A68" s="80" t="str">
        <f>Declaration!B85</f>
        <v/>
      </c>
      <c r="B68" s="79">
        <f>Declaration!D85</f>
        <v>0</v>
      </c>
      <c r="C68" s="136">
        <f t="shared" si="3"/>
        <v>0</v>
      </c>
      <c r="D68" s="85"/>
      <c r="E68" s="16"/>
      <c r="F68" s="84"/>
      <c r="G68" s="62"/>
      <c r="H68" s="63"/>
      <c r="I68" s="131"/>
    </row>
    <row r="69" spans="1:10" ht="22" hidden="1" customHeight="1">
      <c r="A69" s="80" t="str">
        <f>Declaration!B86</f>
        <v/>
      </c>
      <c r="B69" s="79">
        <f>Declaration!D86</f>
        <v>0</v>
      </c>
      <c r="C69" s="136">
        <f t="shared" si="3"/>
        <v>0</v>
      </c>
      <c r="D69" s="85"/>
      <c r="E69" s="16" t="s">
        <v>18</v>
      </c>
      <c r="F69" s="84"/>
      <c r="G69" s="62"/>
      <c r="H69" s="63"/>
      <c r="I69" s="131"/>
    </row>
    <row r="70" spans="1:10" ht="22" hidden="1" customHeight="1">
      <c r="A70" s="80" t="str">
        <f>Declaration!B87</f>
        <v/>
      </c>
      <c r="B70" s="79">
        <f>Declaration!D87</f>
        <v>0</v>
      </c>
      <c r="C70" s="136">
        <f t="shared" si="3"/>
        <v>0</v>
      </c>
      <c r="D70" s="85"/>
      <c r="E70" s="16" t="s">
        <v>18</v>
      </c>
      <c r="F70" s="84"/>
      <c r="G70" s="62"/>
      <c r="H70" s="63"/>
      <c r="I70" s="131"/>
    </row>
    <row r="71" spans="1:10" ht="25" customHeight="1">
      <c r="A71" s="79" t="str">
        <f ca="1">Declaration!B89</f>
        <v>6）貴社のサプライチェーンに対象となる鉱物を供給する全ての製錬業者又は加工業者を特定しましたか？(*)</v>
      </c>
      <c r="B71" s="82"/>
      <c r="C71" s="82"/>
      <c r="D71" s="86"/>
      <c r="E71" s="16" t="s">
        <v>13</v>
      </c>
      <c r="F71" s="83"/>
    </row>
    <row r="72" spans="1:10" ht="54.5">
      <c r="A72" s="80" t="str">
        <f>Declaration!B90</f>
        <v>Cobalt</v>
      </c>
      <c r="B72" s="79">
        <f>Declaration!D90</f>
        <v>0</v>
      </c>
      <c r="C72" s="136" t="str">
        <f t="shared" ca="1" si="3"/>
        <v>記入済</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記入済</v>
      </c>
      <c r="J72" s="15" t="str">
        <f ca="1">OFFSET(L!$C$1,MATCH("Checker"&amp;ADDRESS(ROW(),COLUMN(),4),L!$A:$A,0)-1,SL,,)</f>
        <v>申告範囲内で全ての製錬業者名が本調査回答で提供された場合は、「申告」タブのD90セルに申告してください</v>
      </c>
    </row>
    <row r="73" spans="1:10" ht="54.5">
      <c r="A73" s="80" t="str">
        <f>Declaration!B91</f>
        <v>Copper</v>
      </c>
      <c r="B73" s="79">
        <f>Declaration!D91</f>
        <v>0</v>
      </c>
      <c r="C73" s="136" t="str">
        <f t="shared" ref="C73:C81" ca="1" si="31">IF(H73=1,J73,I73)</f>
        <v>記入済</v>
      </c>
      <c r="D73" s="319" t="str">
        <f t="shared" ref="D73:D77" si="32">IF(H73=1,"Click here to answer question 6 for specified mineral","")</f>
        <v/>
      </c>
      <c r="E73" s="16" t="s">
        <v>13</v>
      </c>
      <c r="F73" s="84">
        <f t="shared" ref="F73:F77" si="33">F62</f>
        <v>0</v>
      </c>
      <c r="G73" s="62">
        <f t="shared" ref="G73:G77" si="34">IF(B73=0,1,0)</f>
        <v>1</v>
      </c>
      <c r="H73" s="63">
        <f t="shared" ref="H73:H77" si="35">F73*G73</f>
        <v>0</v>
      </c>
      <c r="I73" s="131" t="str">
        <f ca="1">OFFSET(L!$C$1,MATCH("Checker"&amp;"Comp",L!$A:$A,0)-1,SL,,)</f>
        <v>記入済</v>
      </c>
      <c r="J73" s="15" t="str">
        <f ca="1">OFFSET(L!$C$1,MATCH("Checker"&amp;ADDRESS(ROW(),COLUMN(),4),L!$A:$A,0)-1,SL,,)</f>
        <v>申告範囲内で全ての製錬業者名が本調査回答で提供された場合は、「申告」タブのD91セルに申告してください</v>
      </c>
    </row>
    <row r="74" spans="1:10" ht="14.5">
      <c r="A74" s="80" t="str">
        <f>Declaration!B92</f>
        <v>Graphite</v>
      </c>
      <c r="B74" s="79">
        <f>Declaration!D92</f>
        <v>0</v>
      </c>
      <c r="C74" s="136" t="str">
        <f t="shared" ca="1" si="31"/>
        <v>記入済</v>
      </c>
      <c r="D74" s="319" t="str">
        <f t="shared" si="32"/>
        <v/>
      </c>
      <c r="E74" s="16"/>
      <c r="F74" s="84">
        <f t="shared" si="33"/>
        <v>0</v>
      </c>
      <c r="G74" s="62">
        <f t="shared" si="34"/>
        <v>1</v>
      </c>
      <c r="H74" s="63">
        <f t="shared" si="35"/>
        <v>0</v>
      </c>
      <c r="I74" s="131" t="str">
        <f ca="1">OFFSET(L!$C$1,MATCH("Checker"&amp;"Comp",L!$A:$A,0)-1,SL,,)</f>
        <v>記入済</v>
      </c>
      <c r="J74" s="15" t="str">
        <f ca="1">OFFSET(L!$C$1,MATCH("Checker"&amp;ADDRESS(ROW(),COLUMN(),4),L!$A:$A,0)-1,SL,,)</f>
        <v>申告範囲内で全ての製錬業者名が本調査回答で提供された場合は、「申告」タブのD92セルに申告してください</v>
      </c>
    </row>
    <row r="75" spans="1:10" ht="14.5">
      <c r="A75" s="80" t="str">
        <f>Declaration!B93</f>
        <v>Lithium</v>
      </c>
      <c r="B75" s="79">
        <f>Declaration!D93</f>
        <v>0</v>
      </c>
      <c r="C75" s="136" t="str">
        <f t="shared" ca="1" si="31"/>
        <v>記入済</v>
      </c>
      <c r="D75" s="319" t="str">
        <f t="shared" si="32"/>
        <v/>
      </c>
      <c r="E75" s="16"/>
      <c r="F75" s="84">
        <f t="shared" si="33"/>
        <v>0</v>
      </c>
      <c r="G75" s="62">
        <f t="shared" si="34"/>
        <v>1</v>
      </c>
      <c r="H75" s="63">
        <f t="shared" si="35"/>
        <v>0</v>
      </c>
      <c r="I75" s="131" t="str">
        <f ca="1">OFFSET(L!$C$1,MATCH("Checker"&amp;"Comp",L!$A:$A,0)-1,SL,,)</f>
        <v>記入済</v>
      </c>
      <c r="J75" s="15" t="str">
        <f ca="1">OFFSET(L!$C$1,MATCH("Checker"&amp;ADDRESS(ROW(),COLUMN(),4),L!$A:$A,0)-1,SL,,)</f>
        <v>申告範囲内で全ての製錬業者名が本調査回答で提供された場合は、「申告」タブのD93セルに申告してください</v>
      </c>
    </row>
    <row r="76" spans="1:10" ht="14.5">
      <c r="A76" s="80" t="str">
        <f>Declaration!B94</f>
        <v>Mica</v>
      </c>
      <c r="B76" s="79">
        <f>Declaration!D94</f>
        <v>0</v>
      </c>
      <c r="C76" s="136" t="str">
        <f t="shared" ca="1" si="31"/>
        <v>記入済</v>
      </c>
      <c r="D76" s="319" t="str">
        <f t="shared" si="32"/>
        <v/>
      </c>
      <c r="E76" s="16"/>
      <c r="F76" s="84">
        <f t="shared" si="33"/>
        <v>0</v>
      </c>
      <c r="G76" s="62">
        <f t="shared" si="34"/>
        <v>1</v>
      </c>
      <c r="H76" s="63">
        <f t="shared" si="35"/>
        <v>0</v>
      </c>
      <c r="I76" s="131" t="str">
        <f ca="1">OFFSET(L!$C$1,MATCH("Checker"&amp;"Comp",L!$A:$A,0)-1,SL,,)</f>
        <v>記入済</v>
      </c>
      <c r="J76" s="15" t="str">
        <f ca="1">OFFSET(L!$C$1,MATCH("Checker"&amp;ADDRESS(ROW(),COLUMN(),4),L!$A:$A,0)-1,SL,,)</f>
        <v>申告範囲内で全ての製錬業者名が本調査回答で提供された場合は、「申告」タブのD94セルに申告してください</v>
      </c>
    </row>
    <row r="77" spans="1:10" ht="14.5">
      <c r="A77" s="80" t="str">
        <f>Declaration!B95</f>
        <v>Nickel</v>
      </c>
      <c r="B77" s="79">
        <f>Declaration!D95</f>
        <v>0</v>
      </c>
      <c r="C77" s="136" t="str">
        <f t="shared" ca="1" si="31"/>
        <v>記入済</v>
      </c>
      <c r="D77" s="319" t="str">
        <f t="shared" si="32"/>
        <v/>
      </c>
      <c r="E77" s="16"/>
      <c r="F77" s="84">
        <f t="shared" si="33"/>
        <v>0</v>
      </c>
      <c r="G77" s="62">
        <f t="shared" si="34"/>
        <v>1</v>
      </c>
      <c r="H77" s="63">
        <f t="shared" si="35"/>
        <v>0</v>
      </c>
      <c r="I77" s="131" t="str">
        <f ca="1">OFFSET(L!$C$1,MATCH("Checker"&amp;"Comp",L!$A:$A,0)-1,SL,,)</f>
        <v>記入済</v>
      </c>
      <c r="J77" s="15" t="str">
        <f ca="1">OFFSET(L!$C$1,MATCH("Checker"&amp;ADDRESS(ROW(),COLUMN(),4),L!$A:$A,0)-1,SL,,)</f>
        <v>申告範囲内で全ての製錬業者名が本調査回答で提供された場合は、「申告」タブのD95セルに申告してください</v>
      </c>
    </row>
    <row r="78" spans="1:10" ht="22" hidden="1" customHeight="1">
      <c r="A78" s="80" t="str">
        <f>Declaration!B96</f>
        <v/>
      </c>
      <c r="B78" s="79">
        <f>Declaration!D96</f>
        <v>0</v>
      </c>
      <c r="C78" s="136">
        <f t="shared" si="31"/>
        <v>0</v>
      </c>
      <c r="D78" s="87"/>
      <c r="E78" s="16"/>
      <c r="F78" s="84"/>
      <c r="G78" s="62"/>
      <c r="H78" s="63"/>
      <c r="I78" s="131"/>
    </row>
    <row r="79" spans="1:10" ht="22" hidden="1" customHeight="1">
      <c r="A79" s="80" t="str">
        <f>Declaration!B97</f>
        <v/>
      </c>
      <c r="B79" s="79">
        <f>Declaration!D97</f>
        <v>0</v>
      </c>
      <c r="C79" s="136">
        <f t="shared" si="31"/>
        <v>0</v>
      </c>
      <c r="D79" s="87"/>
      <c r="E79" s="16"/>
      <c r="F79" s="84"/>
      <c r="G79" s="62"/>
      <c r="H79" s="63"/>
      <c r="I79" s="131"/>
    </row>
    <row r="80" spans="1:10" ht="22" hidden="1" customHeight="1">
      <c r="A80" s="80" t="str">
        <f>Declaration!B98</f>
        <v/>
      </c>
      <c r="B80" s="79">
        <f>Declaration!D98</f>
        <v>0</v>
      </c>
      <c r="C80" s="136">
        <f t="shared" si="31"/>
        <v>0</v>
      </c>
      <c r="D80" s="87"/>
      <c r="E80" s="16" t="s">
        <v>13</v>
      </c>
      <c r="F80" s="84"/>
      <c r="G80" s="62"/>
      <c r="H80" s="63"/>
      <c r="I80" s="131"/>
    </row>
    <row r="81" spans="1:10" ht="22" hidden="1" customHeight="1">
      <c r="A81" s="80" t="str">
        <f>Declaration!B99</f>
        <v/>
      </c>
      <c r="B81" s="79">
        <f>Declaration!D99</f>
        <v>0</v>
      </c>
      <c r="C81" s="136">
        <f t="shared" si="31"/>
        <v>0</v>
      </c>
      <c r="D81" s="87"/>
      <c r="E81" s="16" t="s">
        <v>13</v>
      </c>
      <c r="F81" s="84"/>
      <c r="G81" s="62"/>
      <c r="H81" s="63"/>
      <c r="I81" s="131"/>
    </row>
    <row r="82" spans="1:10" ht="50.5" customHeight="1">
      <c r="A82" s="79" t="str">
        <f ca="1">Declaration!B101</f>
        <v>7）貴社は受領した該当する全ての製錬業者又は加工業者情報を、この申告で報告していますか？(*)</v>
      </c>
      <c r="B82" s="82"/>
      <c r="C82" s="82"/>
      <c r="D82" s="86"/>
      <c r="E82" s="16" t="s">
        <v>16</v>
      </c>
      <c r="F82" s="83"/>
    </row>
    <row r="83" spans="1:10" ht="41.5" customHeight="1">
      <c r="A83" s="80" t="str">
        <f>Declaration!B102</f>
        <v>Cobalt</v>
      </c>
      <c r="B83" s="79">
        <f>Declaration!D102</f>
        <v>0</v>
      </c>
      <c r="C83" s="136" t="str">
        <f t="shared" ref="C83:C92" ca="1" si="36">IF(H83=1,J83,I83)</f>
        <v>記入済</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記入済</v>
      </c>
      <c r="J83" s="15" t="str">
        <f ca="1">OFFSET(L!$C$1,MATCH("Checker"&amp;ADDRESS(ROW(),COLUMN(),4),L!$A:$A,0)-1,SL,,)</f>
        <v>全ての該当する対象となる鉱物製錬業者情報が提供された場合は、「申告（Declaration）」タブのD102セルに申告してください</v>
      </c>
    </row>
    <row r="84" spans="1:10" ht="41.5" customHeight="1">
      <c r="A84" s="80" t="str">
        <f>Declaration!B103</f>
        <v>Copper</v>
      </c>
      <c r="B84" s="79">
        <f>Declaration!D103</f>
        <v>0</v>
      </c>
      <c r="C84" s="136" t="str">
        <f t="shared" ca="1" si="36"/>
        <v>記入済</v>
      </c>
      <c r="D84" s="319" t="str">
        <f t="shared" ref="D84:D88" si="39">IF(H84=1,"Click here to answer question 7 for specified mineral","")</f>
        <v/>
      </c>
      <c r="E84" s="16" t="s">
        <v>15</v>
      </c>
      <c r="F84" s="84">
        <f t="shared" ref="F84:F88" si="40">F73</f>
        <v>0</v>
      </c>
      <c r="G84" s="62">
        <f t="shared" ref="G84:G88" si="41">IF(B84=0,1,0)</f>
        <v>1</v>
      </c>
      <c r="H84" s="63">
        <f t="shared" ref="H84:H88" si="42">F84*G84</f>
        <v>0</v>
      </c>
      <c r="I84" s="131" t="str">
        <f ca="1">OFFSET(L!$C$1,MATCH("Checker"&amp;"Comp",L!$A:$A,0)-1,SL,,)</f>
        <v>記入済</v>
      </c>
      <c r="J84" s="15" t="str">
        <f ca="1">OFFSET(L!$C$1,MATCH("Checker"&amp;ADDRESS(ROW(),COLUMN(),4),L!$A:$A,0)-1,SL,,)</f>
        <v>全ての該当する対象となる鉱物製錬業者情報が提供された場合は、「申告（Declaration）」タブのD103セルに申告してください</v>
      </c>
    </row>
    <row r="85" spans="1:10" ht="41.5" customHeight="1">
      <c r="A85" s="80" t="str">
        <f>Declaration!B104</f>
        <v>Graphite</v>
      </c>
      <c r="B85" s="79">
        <f>Declaration!D104</f>
        <v>0</v>
      </c>
      <c r="C85" s="136" t="str">
        <f t="shared" ca="1" si="36"/>
        <v>記入済</v>
      </c>
      <c r="D85" s="319" t="str">
        <f t="shared" si="39"/>
        <v/>
      </c>
      <c r="E85" s="16"/>
      <c r="F85" s="84">
        <f t="shared" si="40"/>
        <v>0</v>
      </c>
      <c r="G85" s="62">
        <f t="shared" si="41"/>
        <v>1</v>
      </c>
      <c r="H85" s="63">
        <f t="shared" si="42"/>
        <v>0</v>
      </c>
      <c r="I85" s="131" t="str">
        <f ca="1">OFFSET(L!$C$1,MATCH("Checker"&amp;"Comp",L!$A:$A,0)-1,SL,,)</f>
        <v>記入済</v>
      </c>
      <c r="J85" s="15" t="str">
        <f ca="1">OFFSET(L!$C$1,MATCH("Checker"&amp;ADDRESS(ROW(),COLUMN(),4),L!$A:$A,0)-1,SL,,)</f>
        <v>全ての該当する対象となる鉱物製錬業者情報が提供された場合は、「申告（Declaration）」タブのD104セルに申告してください</v>
      </c>
    </row>
    <row r="86" spans="1:10" ht="41.5" customHeight="1">
      <c r="A86" s="80" t="str">
        <f>Declaration!B105</f>
        <v>Lithium</v>
      </c>
      <c r="B86" s="79">
        <f>Declaration!D105</f>
        <v>0</v>
      </c>
      <c r="C86" s="136" t="str">
        <f t="shared" ca="1" si="36"/>
        <v>記入済</v>
      </c>
      <c r="D86" s="319" t="str">
        <f t="shared" si="39"/>
        <v/>
      </c>
      <c r="E86" s="16"/>
      <c r="F86" s="84">
        <f t="shared" si="40"/>
        <v>0</v>
      </c>
      <c r="G86" s="62">
        <f t="shared" si="41"/>
        <v>1</v>
      </c>
      <c r="H86" s="63">
        <f t="shared" si="42"/>
        <v>0</v>
      </c>
      <c r="I86" s="131" t="str">
        <f ca="1">OFFSET(L!$C$1,MATCH("Checker"&amp;"Comp",L!$A:$A,0)-1,SL,,)</f>
        <v>記入済</v>
      </c>
      <c r="J86" s="15" t="str">
        <f ca="1">OFFSET(L!$C$1,MATCH("Checker"&amp;ADDRESS(ROW(),COLUMN(),4),L!$A:$A,0)-1,SL,,)</f>
        <v>全ての該当する対象となる鉱物製錬業者情報が提供された場合は、「申告（Declaration）」タブのD105セルに申告してください</v>
      </c>
    </row>
    <row r="87" spans="1:10" ht="41.5" customHeight="1">
      <c r="A87" s="80" t="str">
        <f>Declaration!B106</f>
        <v>Mica</v>
      </c>
      <c r="B87" s="79">
        <f>Declaration!D106</f>
        <v>0</v>
      </c>
      <c r="C87" s="136" t="str">
        <f t="shared" ca="1" si="36"/>
        <v>記入済</v>
      </c>
      <c r="D87" s="319" t="str">
        <f t="shared" si="39"/>
        <v/>
      </c>
      <c r="E87" s="16"/>
      <c r="F87" s="84">
        <f t="shared" si="40"/>
        <v>0</v>
      </c>
      <c r="G87" s="62">
        <f t="shared" si="41"/>
        <v>1</v>
      </c>
      <c r="H87" s="63">
        <f t="shared" si="42"/>
        <v>0</v>
      </c>
      <c r="I87" s="131" t="str">
        <f ca="1">OFFSET(L!$C$1,MATCH("Checker"&amp;"Comp",L!$A:$A,0)-1,SL,,)</f>
        <v>記入済</v>
      </c>
      <c r="J87" s="15" t="str">
        <f ca="1">OFFSET(L!$C$1,MATCH("Checker"&amp;ADDRESS(ROW(),COLUMN(),4),L!$A:$A,0)-1,SL,,)</f>
        <v>全ての該当する対象となる鉱物製錬業者情報が提供された場合は、「申告（Declaration）」タブのD106セルに申告してください</v>
      </c>
    </row>
    <row r="88" spans="1:10" ht="41.5" customHeight="1">
      <c r="A88" s="80" t="str">
        <f>Declaration!B107</f>
        <v>Nickel</v>
      </c>
      <c r="B88" s="79">
        <f>Declaration!D107</f>
        <v>0</v>
      </c>
      <c r="C88" s="136" t="str">
        <f t="shared" ca="1" si="36"/>
        <v>記入済</v>
      </c>
      <c r="D88" s="319" t="str">
        <f t="shared" si="39"/>
        <v/>
      </c>
      <c r="E88" s="16"/>
      <c r="F88" s="84">
        <f t="shared" si="40"/>
        <v>0</v>
      </c>
      <c r="G88" s="62">
        <f t="shared" si="41"/>
        <v>1</v>
      </c>
      <c r="H88" s="63">
        <f t="shared" si="42"/>
        <v>0</v>
      </c>
      <c r="I88" s="131" t="str">
        <f ca="1">OFFSET(L!$C$1,MATCH("Checker"&amp;"Comp",L!$A:$A,0)-1,SL,,)</f>
        <v>記入済</v>
      </c>
      <c r="J88" s="15" t="str">
        <f ca="1">OFFSET(L!$C$1,MATCH("Checker"&amp;ADDRESS(ROW(),COLUMN(),4),L!$A:$A,0)-1,SL,,)</f>
        <v>全ての該当する対象となる鉱物製錬業者情報が提供された場合は、「申告（Declaration）」タブのD107セルに申告してください</v>
      </c>
    </row>
    <row r="89" spans="1:10" ht="22" hidden="1" customHeight="1">
      <c r="A89" s="80" t="str">
        <f>Declaration!B108</f>
        <v/>
      </c>
      <c r="B89" s="79">
        <f>Declaration!D108</f>
        <v>0</v>
      </c>
      <c r="C89" s="136">
        <f t="shared" si="36"/>
        <v>0</v>
      </c>
      <c r="D89" s="88"/>
      <c r="E89" s="16"/>
      <c r="F89" s="84"/>
      <c r="G89" s="62"/>
      <c r="H89" s="63"/>
      <c r="I89" s="131"/>
    </row>
    <row r="90" spans="1:10" ht="22" hidden="1" customHeight="1">
      <c r="A90" s="80" t="str">
        <f>Declaration!B109</f>
        <v/>
      </c>
      <c r="B90" s="79">
        <f>Declaration!D109</f>
        <v>0</v>
      </c>
      <c r="C90" s="136">
        <f t="shared" si="36"/>
        <v>0</v>
      </c>
      <c r="D90" s="88"/>
      <c r="E90" s="16"/>
      <c r="F90" s="84"/>
      <c r="G90" s="62"/>
      <c r="H90" s="63"/>
      <c r="I90" s="131"/>
    </row>
    <row r="91" spans="1:10" ht="22" hidden="1" customHeight="1">
      <c r="A91" s="80" t="str">
        <f>Declaration!B110</f>
        <v/>
      </c>
      <c r="B91" s="79">
        <f>Declaration!D110</f>
        <v>0</v>
      </c>
      <c r="C91" s="136">
        <f t="shared" si="36"/>
        <v>0</v>
      </c>
      <c r="D91" s="88"/>
      <c r="E91" s="16" t="s">
        <v>15</v>
      </c>
      <c r="F91" s="84"/>
      <c r="G91" s="62"/>
      <c r="H91" s="63"/>
      <c r="I91" s="131"/>
    </row>
    <row r="92" spans="1:10" ht="22" hidden="1" customHeight="1">
      <c r="A92" s="80" t="str">
        <f>Declaration!B111</f>
        <v/>
      </c>
      <c r="B92" s="79">
        <f>Declaration!D111</f>
        <v>0</v>
      </c>
      <c r="C92" s="136">
        <f t="shared" si="36"/>
        <v>0</v>
      </c>
      <c r="D92" s="88"/>
      <c r="E92" s="16" t="s">
        <v>15</v>
      </c>
      <c r="F92" s="84"/>
      <c r="G92" s="62"/>
      <c r="H92" s="63"/>
      <c r="I92" s="131"/>
    </row>
    <row r="93" spans="1:10" ht="22" customHeight="1">
      <c r="A93" s="307" t="str">
        <f ca="1">Declaration!B114</f>
        <v>質問</v>
      </c>
      <c r="B93" s="82"/>
      <c r="C93" s="82"/>
      <c r="D93" s="86"/>
      <c r="E93" s="16" t="s">
        <v>18</v>
      </c>
      <c r="F93" s="83"/>
      <c r="G93" s="83"/>
      <c r="H93" s="83"/>
    </row>
    <row r="94" spans="1:10" ht="41">
      <c r="A94" s="79" t="str">
        <f ca="1">Declaration!B115</f>
        <v>A. 責任ある鉱物調達方針を確定しましたか？</v>
      </c>
      <c r="B94" s="79" t="str">
        <f>Declaration!D115</f>
        <v>Yes</v>
      </c>
      <c r="C94" s="136" t="str">
        <f ca="1">IF(H94=1,J94,I94)</f>
        <v>記入済</v>
      </c>
      <c r="D94" s="320" t="str">
        <f>IF(H94=1,"Click here to answer question (A)","")</f>
        <v/>
      </c>
      <c r="E94" s="16" t="s">
        <v>15</v>
      </c>
      <c r="F94" s="84">
        <f>IF(SUM(F$39:F$48)=0,0,1)</f>
        <v>0</v>
      </c>
      <c r="G94" s="62">
        <f t="shared" si="14"/>
        <v>0</v>
      </c>
      <c r="H94" s="63">
        <f t="shared" si="15"/>
        <v>0</v>
      </c>
      <c r="I94" s="131" t="str">
        <f ca="1">OFFSET(L!$C$1,MATCH("Checker"&amp;"Comp",L!$A:$A,0)-1,SL,,)</f>
        <v>記入済</v>
      </c>
      <c r="J94" s="15" t="str">
        <f ca="1">OFFSET(L!$C$1,MATCH("Checker"&amp;ADDRESS(ROW(),COLUMN(),4),L!$A:$A,0)-1,SL,,)</f>
        <v>貴社に、責任ある鉱物調達方針がある場合は、「申告（Declaration）」タブのD115セルに回答してください</v>
      </c>
    </row>
    <row r="95" spans="1:10" ht="41">
      <c r="A95" s="79" t="str">
        <f ca="1">Declaration!B117</f>
        <v>B.その責任ある鉱物調達方針は、貴社のホームページで閲覧できますか？（回答が「はい」の場合、その方針が掲載されているURLをコメント欄に記入する）</v>
      </c>
      <c r="B95" s="79" t="str">
        <f>Declaration!D117</f>
        <v>Yes</v>
      </c>
      <c r="C95" s="136" t="str">
        <f ca="1">IF(H95=1,J95,I95)</f>
        <v>記入済</v>
      </c>
      <c r="D95" s="321" t="str">
        <f>IF(H95=1,"Click here to answer question (B)","")</f>
        <v/>
      </c>
      <c r="E95" s="16" t="s">
        <v>15</v>
      </c>
      <c r="F95" s="84">
        <f t="shared" ref="F95:F111" si="43">F$94</f>
        <v>0</v>
      </c>
      <c r="G95" s="62">
        <f t="shared" si="14"/>
        <v>0</v>
      </c>
      <c r="H95" s="63">
        <f t="shared" si="15"/>
        <v>0</v>
      </c>
      <c r="I95" s="131" t="str">
        <f ca="1">OFFSET(L!$C$1,MATCH("Checker"&amp;"Comp",L!$A:$A,0)-1,SL,,)</f>
        <v>記入済</v>
      </c>
      <c r="J95" s="15" t="str">
        <f ca="1">OFFSET(L!$C$1,MATCH("Checker"&amp;ADDRESS(ROW(),COLUMN(),4),L!$A:$A,0)-1,SL,,)</f>
        <v>貴社に、貴社のウェブサイトで公に利用可能な貴社の責任ある鉱物調達方針がある場合は、「申告（Declaration）」タブのD117セルに回答してください</v>
      </c>
    </row>
    <row r="96" spans="1:10" ht="25" customHeight="1">
      <c r="A96" s="79" t="s">
        <v>53</v>
      </c>
      <c r="B96" s="79" t="str">
        <f>Declaration!G117</f>
        <v>https://www.daicel.com/sustainability/social/supply-chain.html</v>
      </c>
      <c r="C96" s="79" t="str">
        <f ca="1">IF(H96=1,J96,I96)</f>
        <v>記入済</v>
      </c>
      <c r="D96" s="322" t="str">
        <f>IF(H96=1,"Click here to answer question (C)","")</f>
        <v/>
      </c>
      <c r="E96" s="16" t="s">
        <v>15</v>
      </c>
      <c r="F96" s="84">
        <f>IF(AND(F95=1,B95="Yes"),1,0)</f>
        <v>0</v>
      </c>
      <c r="G96" s="62">
        <f>IF(LEN(B96)&gt;1,0,1)</f>
        <v>0</v>
      </c>
      <c r="H96" s="63">
        <f>F96*G96</f>
        <v>0</v>
      </c>
      <c r="I96" s="131" t="str">
        <f ca="1">OFFSET(L!$C$1,MATCH("Checker"&amp;"Comp",L!$A:$A,0)-1,SL,,)</f>
        <v>記入済</v>
      </c>
      <c r="J96" s="15" t="str">
        <f ca="1">OFFSET(L!$C$1,MATCH("Checker"&amp;ADDRESS(ROW(),COLUMN(),4),L!$A:$A,0)-1,SL,,)</f>
        <v>質問Bの回答が「Yes」の場合は、申告（Declaration）シートのG71セルにURLを記入してください。URLの形式は「www.companyname.com」にしてください。</v>
      </c>
    </row>
    <row r="97" spans="1:10" ht="25" customHeight="1">
      <c r="A97" s="79" t="str">
        <f ca="1">Declaration!B119</f>
        <v xml:space="preserve">C.  貴社は直接サプライヤーに対し、独立民間監査会社の監査プログラムによりデュー・デリジェンス業務が認証された製錬業者から対象となる鉱物を調達することを要求していますか？ </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記入済</v>
      </c>
      <c r="D98" s="321" t="str">
        <f>IF(H98=1,"Click here to answer question (C)","")</f>
        <v/>
      </c>
      <c r="E98" s="16"/>
      <c r="F98" s="84">
        <f>F39</f>
        <v>0</v>
      </c>
      <c r="G98" s="62">
        <f t="shared" si="14"/>
        <v>0</v>
      </c>
      <c r="H98" s="63">
        <f t="shared" si="15"/>
        <v>0</v>
      </c>
      <c r="I98" s="131" t="str">
        <f ca="1">OFFSET(L!$C$1,MATCH("Checker"&amp;"Comp",L!$A:$A,0)-1,SL,,)</f>
        <v>記入済</v>
      </c>
      <c r="J98" s="15" t="str">
        <f ca="1">OFFSET(L!$C$1,MATCH("Checker"&amp;ADDRESS(ROW(),COLUMN(),4),L!$A:$A,0)-1,SL,,)</f>
        <v>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v>
      </c>
    </row>
    <row r="99" spans="1:10" ht="81" customHeight="1">
      <c r="A99" s="79" t="str">
        <f>Declaration!B121</f>
        <v>Copper</v>
      </c>
      <c r="B99" s="79" t="str">
        <f>Declaration!D121</f>
        <v>Yes</v>
      </c>
      <c r="C99" s="136" t="str">
        <f t="shared" ca="1" si="44"/>
        <v>記入済</v>
      </c>
      <c r="D99" s="321" t="str">
        <f>IF(H99=1,"Click here to answer question (C)","")</f>
        <v/>
      </c>
      <c r="E99" s="16"/>
      <c r="F99" s="84">
        <f t="shared" ref="F99:F103" si="45">F40</f>
        <v>0</v>
      </c>
      <c r="G99" s="62">
        <f t="shared" si="14"/>
        <v>0</v>
      </c>
      <c r="H99" s="63">
        <f t="shared" si="15"/>
        <v>0</v>
      </c>
      <c r="I99" s="131" t="str">
        <f ca="1">OFFSET(L!$C$1,MATCH("Checker"&amp;"Comp",L!$A:$A,0)-1,SL,,)</f>
        <v>記入済</v>
      </c>
      <c r="J99" s="15" t="str">
        <f ca="1">OFFSET(L!$C$1,MATCH("Checker"&amp;ADDRESS(ROW(),COLUMN(),4),L!$A:$A,0)-1,SL,,)</f>
        <v>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v>
      </c>
    </row>
    <row r="100" spans="1:10" ht="81" customHeight="1">
      <c r="A100" s="79" t="str">
        <f>Declaration!B122</f>
        <v>Graphite</v>
      </c>
      <c r="B100" s="79" t="str">
        <f>Declaration!D122</f>
        <v>Yes</v>
      </c>
      <c r="C100" s="136" t="str">
        <f t="shared" ca="1" si="44"/>
        <v>記入済</v>
      </c>
      <c r="D100" s="321" t="str">
        <f t="shared" ref="D100:D103" si="46">IF(H100=1,"Click here to answer question (C)","")</f>
        <v/>
      </c>
      <c r="E100" s="16"/>
      <c r="F100" s="84">
        <f t="shared" si="45"/>
        <v>0</v>
      </c>
      <c r="G100" s="62">
        <f t="shared" ref="G100:G103" si="47">IF(B100=0,1,0)</f>
        <v>0</v>
      </c>
      <c r="H100" s="63">
        <f t="shared" ref="H100:H103" si="48">F100*G100</f>
        <v>0</v>
      </c>
      <c r="I100" s="131" t="str">
        <f ca="1">OFFSET(L!$C$1,MATCH("Checker"&amp;"Comp",L!$A:$A,0)-1,SL,,)</f>
        <v>記入済</v>
      </c>
      <c r="J100" s="15" t="str">
        <f ca="1">OFFSET(L!$C$1,MATCH("Checker"&amp;ADDRESS(ROW(),COLUMN(),4),L!$A:$A,0)-1,SL,,)</f>
        <v>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v>
      </c>
    </row>
    <row r="101" spans="1:10" ht="81" customHeight="1">
      <c r="A101" s="79" t="str">
        <f>Declaration!B123</f>
        <v>Lithium</v>
      </c>
      <c r="B101" s="79" t="str">
        <f>Declaration!D123</f>
        <v>Yes</v>
      </c>
      <c r="C101" s="136" t="str">
        <f t="shared" ca="1" si="44"/>
        <v>記入済</v>
      </c>
      <c r="D101" s="321" t="str">
        <f t="shared" si="46"/>
        <v/>
      </c>
      <c r="E101" s="16"/>
      <c r="F101" s="84">
        <f t="shared" si="45"/>
        <v>0</v>
      </c>
      <c r="G101" s="62">
        <f t="shared" si="47"/>
        <v>0</v>
      </c>
      <c r="H101" s="63">
        <f t="shared" si="48"/>
        <v>0</v>
      </c>
      <c r="I101" s="131" t="str">
        <f ca="1">OFFSET(L!$C$1,MATCH("Checker"&amp;"Comp",L!$A:$A,0)-1,SL,,)</f>
        <v>記入済</v>
      </c>
      <c r="J101" s="15" t="str">
        <f ca="1">OFFSET(L!$C$1,MATCH("Checker"&amp;ADDRESS(ROW(),COLUMN(),4),L!$A:$A,0)-1,SL,,)</f>
        <v>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v>
      </c>
    </row>
    <row r="102" spans="1:10" ht="81" customHeight="1">
      <c r="A102" s="79" t="str">
        <f>Declaration!B124</f>
        <v>Mica</v>
      </c>
      <c r="B102" s="79" t="str">
        <f>Declaration!D124</f>
        <v>Yes</v>
      </c>
      <c r="C102" s="136" t="str">
        <f t="shared" ca="1" si="44"/>
        <v>記入済</v>
      </c>
      <c r="D102" s="321" t="str">
        <f t="shared" si="46"/>
        <v/>
      </c>
      <c r="E102" s="16"/>
      <c r="F102" s="84">
        <f t="shared" si="45"/>
        <v>0</v>
      </c>
      <c r="G102" s="62">
        <f t="shared" si="47"/>
        <v>0</v>
      </c>
      <c r="H102" s="63">
        <f t="shared" si="48"/>
        <v>0</v>
      </c>
      <c r="I102" s="131" t="str">
        <f ca="1">OFFSET(L!$C$1,MATCH("Checker"&amp;"Comp",L!$A:$A,0)-1,SL,,)</f>
        <v>記入済</v>
      </c>
      <c r="J102" s="15" t="str">
        <f ca="1">OFFSET(L!$C$1,MATCH("Checker"&amp;ADDRESS(ROW(),COLUMN(),4),L!$A:$A,0)-1,SL,,)</f>
        <v>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v>
      </c>
    </row>
    <row r="103" spans="1:10" ht="81" customHeight="1">
      <c r="A103" s="79" t="str">
        <f>Declaration!B125</f>
        <v>Nickel</v>
      </c>
      <c r="B103" s="79" t="str">
        <f>Declaration!D125</f>
        <v>Yes</v>
      </c>
      <c r="C103" s="136" t="str">
        <f t="shared" ca="1" si="44"/>
        <v>記入済</v>
      </c>
      <c r="D103" s="321" t="str">
        <f t="shared" si="46"/>
        <v/>
      </c>
      <c r="E103" s="16"/>
      <c r="F103" s="84">
        <f t="shared" si="45"/>
        <v>0</v>
      </c>
      <c r="G103" s="62">
        <f t="shared" si="47"/>
        <v>0</v>
      </c>
      <c r="H103" s="63">
        <f t="shared" si="48"/>
        <v>0</v>
      </c>
      <c r="I103" s="131" t="str">
        <f ca="1">OFFSET(L!$C$1,MATCH("Checker"&amp;"Comp",L!$A:$A,0)-1,SL,,)</f>
        <v>記入済</v>
      </c>
      <c r="J103" s="15" t="str">
        <f ca="1">OFFSET(L!$C$1,MATCH("Checker"&amp;ADDRESS(ROW(),COLUMN(),4),L!$A:$A,0)-1,SL,,)</f>
        <v>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v>
      </c>
    </row>
    <row r="104" spans="1:10" ht="25" hidden="1" customHeight="1">
      <c r="A104" s="79" t="str">
        <f>Declaration!B126</f>
        <v/>
      </c>
      <c r="B104" s="79" t="str">
        <f>Declaration!D126</f>
        <v>Yes</v>
      </c>
      <c r="C104" s="136">
        <f t="shared" si="44"/>
        <v>0</v>
      </c>
      <c r="D104" s="193"/>
      <c r="E104" s="16"/>
      <c r="F104" s="84"/>
      <c r="G104" s="62"/>
      <c r="H104" s="63"/>
      <c r="I104" s="131"/>
    </row>
    <row r="105" spans="1:10" ht="25" hidden="1" customHeight="1">
      <c r="A105" s="79" t="str">
        <f>Declaration!B127</f>
        <v/>
      </c>
      <c r="B105" s="79" t="str">
        <f>Declaration!D127</f>
        <v>Yes</v>
      </c>
      <c r="C105" s="136">
        <f t="shared" si="44"/>
        <v>0</v>
      </c>
      <c r="D105" s="193"/>
      <c r="E105" s="16"/>
      <c r="F105" s="84"/>
      <c r="G105" s="62"/>
      <c r="H105" s="63"/>
      <c r="I105" s="131"/>
    </row>
    <row r="106" spans="1:10" ht="25" hidden="1" customHeight="1">
      <c r="A106" s="79" t="str">
        <f>Declaration!B128</f>
        <v/>
      </c>
      <c r="B106" s="79" t="str">
        <f>Declaration!D128</f>
        <v>Yes</v>
      </c>
      <c r="C106" s="136">
        <f t="shared" si="44"/>
        <v>0</v>
      </c>
      <c r="D106" s="193"/>
      <c r="E106" s="16"/>
      <c r="F106" s="84"/>
      <c r="G106" s="62"/>
      <c r="H106" s="63"/>
      <c r="I106" s="131"/>
    </row>
    <row r="107" spans="1:10" ht="25" hidden="1" customHeight="1">
      <c r="A107" s="79" t="str">
        <f>Declaration!B129</f>
        <v/>
      </c>
      <c r="B107" s="79" t="str">
        <f>Declaration!D129</f>
        <v>Yes</v>
      </c>
      <c r="C107" s="136">
        <f t="shared" si="44"/>
        <v>0</v>
      </c>
      <c r="D107" s="193"/>
      <c r="E107" s="16"/>
      <c r="F107" s="84"/>
      <c r="G107" s="62"/>
      <c r="H107" s="63"/>
      <c r="I107" s="131"/>
    </row>
    <row r="108" spans="1:10" ht="41">
      <c r="A108" s="79" t="str">
        <f ca="1">Declaration!B131</f>
        <v xml:space="preserve">D. 責任ある鉱物調達のためのデュー・ディリジェンス対策を実施していますか？
</v>
      </c>
      <c r="B108" s="79" t="str">
        <f>Declaration!D131</f>
        <v>Yes</v>
      </c>
      <c r="C108" s="136" t="str">
        <f t="shared" ca="1" si="44"/>
        <v>記入済</v>
      </c>
      <c r="D108" s="321" t="str">
        <f>IF(H108=1,"Click here to answer question (D)","")</f>
        <v/>
      </c>
      <c r="E108" s="16" t="s">
        <v>15</v>
      </c>
      <c r="F108" s="84">
        <f t="shared" si="43"/>
        <v>0</v>
      </c>
      <c r="G108" s="62">
        <f t="shared" si="14"/>
        <v>0</v>
      </c>
      <c r="H108" s="63">
        <f t="shared" si="15"/>
        <v>0</v>
      </c>
      <c r="I108" s="131" t="str">
        <f ca="1">OFFSET(L!$C$1,MATCH("Checker"&amp;"Comp",L!$A:$A,0)-1,SL,,)</f>
        <v>記入済</v>
      </c>
      <c r="J108" s="15" t="str">
        <f ca="1">OFFSET(L!$C$1,MATCH("Checker"&amp;ADDRESS(ROW(),COLUMN(),4),L!$A:$A,0)-1,SL,,)</f>
        <v>貴社が責任ある調達のデュー・ディリジェンス対策を実施している場合は、「申告（Declaration）」タブのD131セルに回答してください</v>
      </c>
    </row>
    <row r="109" spans="1:10" ht="41">
      <c r="A109" s="79" t="str">
        <f ca="1">Declaration!B133</f>
        <v>E.貴社は関連するサプライヤーの対象となる鉱物サプライチェーン調査を行っていますか？</v>
      </c>
      <c r="B109" s="79" t="str">
        <f>Declaration!D133</f>
        <v>Yes, in conformance with IPC1755 (e.g. EMRT)</v>
      </c>
      <c r="C109" s="136" t="str">
        <f t="shared" ca="1" si="44"/>
        <v>記入済</v>
      </c>
      <c r="D109" s="321" t="str">
        <f>IF(H109=1,"Click here to answer question (E)","")</f>
        <v/>
      </c>
      <c r="E109" s="16" t="s">
        <v>15</v>
      </c>
      <c r="F109" s="84">
        <f t="shared" si="43"/>
        <v>0</v>
      </c>
      <c r="G109" s="62">
        <f>IF(B109=0,1,0)</f>
        <v>0</v>
      </c>
      <c r="H109" s="63">
        <f t="shared" si="15"/>
        <v>0</v>
      </c>
      <c r="I109" s="131" t="str">
        <f ca="1">OFFSET(L!$C$1,MATCH("Checker"&amp;"Comp",L!$A:$A,0)-1,SL,,)</f>
        <v>記入済</v>
      </c>
      <c r="J109" s="15" t="str">
        <f ca="1">OFFSET(L!$C$1,MATCH("Checker"&amp;ADDRESS(ROW(),COLUMN(),4),L!$A:$A,0)-1,SL,,)</f>
        <v>貴社が対象となる鉱物サプライチェーン調査を実施する場合は、「申告（Declaration）」タブのD133セルに回答してください</v>
      </c>
    </row>
    <row r="110" spans="1:10" ht="41">
      <c r="A110" s="79" t="str">
        <f ca="1">Declaration!B135</f>
        <v>F.サプライヤーからのデュー・ディリジェンス情報を貴社の期待を基に検証していますか？</v>
      </c>
      <c r="B110" s="79" t="str">
        <f>Declaration!D135</f>
        <v>Yes</v>
      </c>
      <c r="C110" s="136" t="str">
        <f t="shared" ca="1" si="44"/>
        <v>記入済</v>
      </c>
      <c r="D110" s="321" t="str">
        <f>IF(H110=1,"Click here to answer question (F)","")</f>
        <v/>
      </c>
      <c r="E110" s="16" t="s">
        <v>15</v>
      </c>
      <c r="F110" s="84">
        <f t="shared" si="43"/>
        <v>0</v>
      </c>
      <c r="G110" s="62">
        <f>IF(B110=0,1,0)</f>
        <v>0</v>
      </c>
      <c r="H110" s="63">
        <f t="shared" si="15"/>
        <v>0</v>
      </c>
      <c r="I110" s="131" t="str">
        <f ca="1">OFFSET(L!$C$1,MATCH("Checker"&amp;"Comp",L!$A:$A,0)-1,SL,,)</f>
        <v>記入済</v>
      </c>
      <c r="J110" s="15" t="str">
        <f ca="1">OFFSET(L!$C$1,MATCH("Checker"&amp;ADDRESS(ROW(),COLUMN(),4),L!$A:$A,0)-1,SL,,)</f>
        <v>サプライヤーからの回答を貴社の期待と照らして検証する場合は、「申告（Declaration）」タブのD135セルに回答してください</v>
      </c>
    </row>
    <row r="111" spans="1:10" ht="41">
      <c r="A111" s="79" t="str">
        <f ca="1">Declaration!B137</f>
        <v>G. 貴社の検証プロセスには是正措置管理が含まれていますか？</v>
      </c>
      <c r="B111" s="79" t="str">
        <f>Declaration!D137</f>
        <v>No</v>
      </c>
      <c r="C111" s="136" t="str">
        <f t="shared" ca="1" si="44"/>
        <v>記入済</v>
      </c>
      <c r="D111" s="321" t="str">
        <f>IF(H111=1,"Click here to answer question (G)","")</f>
        <v/>
      </c>
      <c r="E111" s="16" t="s">
        <v>15</v>
      </c>
      <c r="F111" s="84">
        <f t="shared" si="43"/>
        <v>0</v>
      </c>
      <c r="G111" s="62">
        <f t="shared" si="14"/>
        <v>0</v>
      </c>
      <c r="H111" s="63">
        <f t="shared" si="15"/>
        <v>0</v>
      </c>
      <c r="I111" s="131" t="str">
        <f ca="1">OFFSET(L!$C$1,MATCH("Checker"&amp;"Comp",L!$A:$A,0)-1,SL,,)</f>
        <v>記入済</v>
      </c>
      <c r="J111" s="15" t="str">
        <f ca="1">OFFSET(L!$C$1,MATCH("Checker"&amp;ADDRESS(ROW(),COLUMN(),4),L!$A:$A,0)-1,SL,,)</f>
        <v>貴社の検証プロセスに是正措置管理を含む場合は、「申告（Declaration）」タブのD137セルに回答してください</v>
      </c>
    </row>
    <row r="112" spans="1:10" ht="41">
      <c r="A112" s="80" t="s">
        <v>54</v>
      </c>
      <c r="B112" s="79" t="str">
        <f>IF(G112=1,"No products or item numbers listed","One or more product / item numbers have been provided")</f>
        <v>One or more product / item numbers have been provided</v>
      </c>
      <c r="C112" s="79" t="str">
        <f t="shared" ca="1" si="44"/>
        <v>記入済</v>
      </c>
      <c r="D112" s="380" t="str">
        <f>IF(H112=1,"Click here to enter detail on Product List tab","")</f>
        <v/>
      </c>
      <c r="E112" s="16" t="s">
        <v>15</v>
      </c>
      <c r="F112" s="84">
        <f>IF(B5=Declaration!Q9,1,0)</f>
        <v>1</v>
      </c>
      <c r="G112" s="62">
        <f>IF('Product List'!B6="",1,0)</f>
        <v>0</v>
      </c>
      <c r="H112" s="63">
        <f>F112*G112</f>
        <v>0</v>
      </c>
      <c r="I112" s="131" t="str">
        <f ca="1">OFFSET(L!$C$1,MATCH("Checker"&amp;"Comp",L!$A:$A,0)-1,SL,,)</f>
        <v>記入済</v>
      </c>
      <c r="J112" s="15" t="str">
        <f ca="1">OFFSET(L!$C$1,MATCH("Checker"&amp;ADDRESS(ROW(),COLUMN(),4),L!$A:$A,0)-1,SL,,)</f>
        <v>この申告に該当する製造者の1つ以上の製品または製品番号を「Product List」タブに記入してください。Declarationタブの11HセルのリンクをクリックするとProduct Listタブにつながります</v>
      </c>
    </row>
    <row r="113" spans="1:12" ht="22" customHeight="1">
      <c r="A113" s="80" t="s">
        <v>1078</v>
      </c>
      <c r="B113" s="79"/>
      <c r="C113" s="79"/>
      <c r="D113" s="193"/>
      <c r="E113" s="16"/>
      <c r="F113" s="84"/>
      <c r="G113" s="62"/>
      <c r="H113" s="63"/>
      <c r="I113" s="131"/>
    </row>
    <row r="114" spans="1:12" ht="41">
      <c r="A114" s="135" t="str">
        <f>Declaration!AA12</f>
        <v>Cobalt</v>
      </c>
      <c r="B114" s="79"/>
      <c r="C114" s="136" t="str">
        <f t="shared" ref="C114:C123" ca="1" si="49">IF(H114=1,J114,I114)</f>
        <v>記入済</v>
      </c>
      <c r="D114" s="379" t="str">
        <f>IF(H114=0,"","Click here to provide smelter information")</f>
        <v/>
      </c>
      <c r="E114" s="16" t="s">
        <v>15</v>
      </c>
      <c r="F114" s="84">
        <f>F39</f>
        <v>0</v>
      </c>
      <c r="G114" s="62">
        <f>IF(AND(COUNTIF(SmelterIdetifiedForMetal,A114)&gt;0,COUNTIF('Smelter List'!AB$5:AB$2504,A114)&gt;0),0,1)</f>
        <v>1</v>
      </c>
      <c r="H114" s="63">
        <f>F114*G114</f>
        <v>0</v>
      </c>
      <c r="I114" s="131" t="str">
        <f ca="1">OFFSET(L!$C$1,MATCH("Checker"&amp;"Comp",L!$A:$A,0)-1,SL,,)</f>
        <v>記入済</v>
      </c>
      <c r="J114" s="15" t="str">
        <f ca="1">OFFSET(L!$C$1,MATCH("Checker"&amp;ADDRESS(ROW(),COLUMN(),4),L!$A:$A,0)-1,SL,,)</f>
        <v>サプライチェーンに対象となる鉱物を寄与している精錬業者のリストを、「精錬業者リスト」タブに記入してください</v>
      </c>
      <c r="K114" s="134">
        <f>IF(H28&gt;0,1,0)</f>
        <v>0</v>
      </c>
    </row>
    <row r="115" spans="1:12" ht="41.5" customHeight="1">
      <c r="A115" s="135" t="str">
        <f>Declaration!AA13</f>
        <v>Copper</v>
      </c>
      <c r="B115" s="79"/>
      <c r="C115" s="136" t="str">
        <f t="shared" ca="1" si="49"/>
        <v>記入済</v>
      </c>
      <c r="D115" s="379" t="str">
        <f>IF(H115=0,"","Click here to provide smelter information")</f>
        <v/>
      </c>
      <c r="E115" s="16"/>
      <c r="F115" s="84">
        <f>F40</f>
        <v>0</v>
      </c>
      <c r="G115" s="62">
        <f>IF(AND(COUNTIF(SmelterIdetifiedForMetal,A115)&gt;0,COUNTIF('Smelter List'!AB$5:AB$2504,A115)&gt;0),0,1)</f>
        <v>1</v>
      </c>
      <c r="H115" s="63">
        <f>F115*G115</f>
        <v>0</v>
      </c>
      <c r="I115" s="131" t="str">
        <f ca="1">OFFSET(L!$C$1,MATCH("Checker"&amp;"Comp",L!$A:$A,0)-1,SL,,)</f>
        <v>記入済</v>
      </c>
      <c r="J115" s="15" t="str">
        <f ca="1">OFFSET(L!$C$1,MATCH("Checker"&amp;ADDRESS(ROW(),COLUMN(),4),L!$A:$A,0)-1,SL,,)</f>
        <v>サプライチェーンに対象となる鉱物を寄与している精錬業者のリストを、「精錬業者リスト」タブに記入してください</v>
      </c>
      <c r="K115" s="134">
        <f t="shared" ref="K115:K119" si="50">IF(H29&gt;0,1,0)</f>
        <v>0</v>
      </c>
    </row>
    <row r="116" spans="1:12" ht="41.5" customHeight="1">
      <c r="A116" s="135" t="str">
        <f>Declaration!AA14</f>
        <v>Graphite</v>
      </c>
      <c r="B116" s="79"/>
      <c r="C116" s="136" t="str">
        <f t="shared" ca="1" si="49"/>
        <v>記入済</v>
      </c>
      <c r="D116" s="379" t="str">
        <f t="shared" ref="D116:D119" si="51">IF(H116=0,"","Click here to provide smelter information")</f>
        <v/>
      </c>
      <c r="E116" s="16"/>
      <c r="F116" s="84">
        <f t="shared" ref="F116:F119" si="52">F41</f>
        <v>0</v>
      </c>
      <c r="G116" s="62">
        <f>IF(AND(COUNTIF(SmelterIdetifiedForMetal,A116)&gt;0,COUNTIF('Smelter List'!AB$5:AB$2504,A116)&gt;0),0,1)</f>
        <v>1</v>
      </c>
      <c r="H116" s="63">
        <f t="shared" ref="H116:H119" si="53">F116*G116</f>
        <v>0</v>
      </c>
      <c r="I116" s="131" t="str">
        <f ca="1">OFFSET(L!$C$1,MATCH("Checker"&amp;"Comp",L!$A:$A,0)-1,SL,,)</f>
        <v>記入済</v>
      </c>
      <c r="J116" s="15" t="str">
        <f ca="1">OFFSET(L!$C$1,MATCH("Checker"&amp;ADDRESS(ROW(),COLUMN(),4),L!$A:$A,0)-1,SL,,)</f>
        <v>サプライチェーンに対象となる鉱物を寄与している精錬業者のリストを、「精錬業者リスト」タブに記入してください</v>
      </c>
      <c r="K116" s="134">
        <f t="shared" si="50"/>
        <v>0</v>
      </c>
    </row>
    <row r="117" spans="1:12" ht="41.5" customHeight="1">
      <c r="A117" s="135" t="str">
        <f>Declaration!AA15</f>
        <v>Lithium</v>
      </c>
      <c r="B117" s="79"/>
      <c r="C117" s="136" t="str">
        <f t="shared" ca="1" si="49"/>
        <v>記入済</v>
      </c>
      <c r="D117" s="379" t="str">
        <f t="shared" si="51"/>
        <v/>
      </c>
      <c r="E117" s="16"/>
      <c r="F117" s="84">
        <f t="shared" si="52"/>
        <v>0</v>
      </c>
      <c r="G117" s="62">
        <f>IF(AND(COUNTIF(SmelterIdetifiedForMetal,A117)&gt;0,COUNTIF('Smelter List'!AB$5:AB$2504,A117)&gt;0),0,1)</f>
        <v>1</v>
      </c>
      <c r="H117" s="63">
        <f t="shared" si="53"/>
        <v>0</v>
      </c>
      <c r="I117" s="131" t="str">
        <f ca="1">OFFSET(L!$C$1,MATCH("Checker"&amp;"Comp",L!$A:$A,0)-1,SL,,)</f>
        <v>記入済</v>
      </c>
      <c r="J117" s="15" t="str">
        <f ca="1">OFFSET(L!$C$1,MATCH("Checker"&amp;ADDRESS(ROW(),COLUMN(),4),L!$A:$A,0)-1,SL,,)</f>
        <v>サプライチェーンに対象となる鉱物を寄与している精錬業者のリストを、「精錬業者リスト」タブに記入してください</v>
      </c>
      <c r="K117" s="134">
        <f t="shared" si="50"/>
        <v>0</v>
      </c>
    </row>
    <row r="118" spans="1:12" ht="41.5" customHeight="1">
      <c r="A118" s="135" t="str">
        <f>Declaration!AA16</f>
        <v>Mica</v>
      </c>
      <c r="B118" s="79"/>
      <c r="C118" s="136" t="str">
        <f t="shared" ca="1" si="49"/>
        <v>記入済</v>
      </c>
      <c r="D118" s="379" t="str">
        <f t="shared" si="51"/>
        <v/>
      </c>
      <c r="E118" s="16"/>
      <c r="F118" s="84">
        <f t="shared" si="52"/>
        <v>0</v>
      </c>
      <c r="G118" s="62">
        <f>IF(AND(COUNTIF(SmelterIdetifiedForMetal,A118)&gt;0,COUNTIF('Smelter List'!AB$5:AB$2504,A118)&gt;0),0,1)</f>
        <v>1</v>
      </c>
      <c r="H118" s="63">
        <f t="shared" si="53"/>
        <v>0</v>
      </c>
      <c r="I118" s="131" t="str">
        <f ca="1">OFFSET(L!$C$1,MATCH("Checker"&amp;"Comp",L!$A:$A,0)-1,SL,,)</f>
        <v>記入済</v>
      </c>
      <c r="J118" s="15" t="str">
        <f ca="1">OFFSET(L!$C$1,MATCH("Checker"&amp;ADDRESS(ROW(),COLUMN(),4),L!$A:$A,0)-1,SL,,)</f>
        <v>サプライチェーンに対象となる鉱物を寄与している精錬業者のリストを、「精錬業者リスト」タブに記入してください</v>
      </c>
      <c r="K118" s="134">
        <f t="shared" si="50"/>
        <v>0</v>
      </c>
    </row>
    <row r="119" spans="1:12" ht="41.5" customHeight="1">
      <c r="A119" s="135" t="str">
        <f>Declaration!AA17</f>
        <v>Nickel</v>
      </c>
      <c r="B119" s="79"/>
      <c r="C119" s="136" t="str">
        <f t="shared" ca="1" si="49"/>
        <v>記入済</v>
      </c>
      <c r="D119" s="379" t="str">
        <f t="shared" si="51"/>
        <v/>
      </c>
      <c r="E119" s="16"/>
      <c r="F119" s="84">
        <f t="shared" si="52"/>
        <v>0</v>
      </c>
      <c r="G119" s="62">
        <f>IF(AND(COUNTIF(SmelterIdetifiedForMetal,A119)&gt;0,COUNTIF('Smelter List'!AB$5:AB$2504,A119)&gt;0),0,1)</f>
        <v>1</v>
      </c>
      <c r="H119" s="63">
        <f t="shared" si="53"/>
        <v>0</v>
      </c>
      <c r="I119" s="131" t="str">
        <f ca="1">OFFSET(L!$C$1,MATCH("Checker"&amp;"Comp",L!$A:$A,0)-1,SL,,)</f>
        <v>記入済</v>
      </c>
      <c r="J119" s="15" t="str">
        <f ca="1">OFFSET(L!$C$1,MATCH("Checker"&amp;ADDRESS(ROW(),COLUMN(),4),L!$A:$A,0)-1,SL,,)</f>
        <v>サプライチェーンに対象となる鉱物を寄与している精錬業者のリストを、「精錬業者リスト」タブに記入してください</v>
      </c>
      <c r="K119" s="134">
        <f t="shared" si="50"/>
        <v>0</v>
      </c>
    </row>
    <row r="120" spans="1:12" ht="25" hidden="1" customHeight="1">
      <c r="A120" s="135" t="str">
        <f>Declaration!AA18</f>
        <v/>
      </c>
      <c r="B120" s="79"/>
      <c r="C120" s="136">
        <f t="shared" si="49"/>
        <v>0</v>
      </c>
      <c r="D120" s="220"/>
      <c r="E120" s="16"/>
      <c r="F120" s="84"/>
      <c r="G120" s="62"/>
      <c r="H120" s="63"/>
      <c r="I120" s="131"/>
      <c r="K120" s="134"/>
    </row>
    <row r="121" spans="1:12" ht="25" hidden="1" customHeight="1">
      <c r="A121" s="135" t="str">
        <f>Declaration!AA19</f>
        <v/>
      </c>
      <c r="B121" s="79"/>
      <c r="C121" s="136">
        <f t="shared" si="49"/>
        <v>0</v>
      </c>
      <c r="D121" s="220"/>
      <c r="E121" s="16"/>
      <c r="F121" s="84"/>
      <c r="G121" s="62"/>
      <c r="H121" s="63"/>
      <c r="I121" s="131"/>
      <c r="K121" s="134"/>
    </row>
    <row r="122" spans="1:12" ht="25" hidden="1" customHeight="1">
      <c r="A122" s="135" t="str">
        <f>Declaration!AA20</f>
        <v/>
      </c>
      <c r="B122" s="79"/>
      <c r="C122" s="136">
        <f t="shared" si="49"/>
        <v>0</v>
      </c>
      <c r="D122" s="85"/>
      <c r="E122" s="16" t="s">
        <v>15</v>
      </c>
      <c r="F122" s="84"/>
      <c r="G122" s="62"/>
      <c r="H122" s="63"/>
      <c r="I122" s="131"/>
      <c r="K122" s="134"/>
    </row>
    <row r="123" spans="1:12" ht="25" hidden="1" customHeight="1">
      <c r="A123" s="135" t="str">
        <f>Declaration!AA21</f>
        <v/>
      </c>
      <c r="B123" s="79"/>
      <c r="C123" s="136">
        <f t="shared" si="49"/>
        <v>0</v>
      </c>
      <c r="D123" s="85"/>
      <c r="E123" s="16" t="s">
        <v>15</v>
      </c>
      <c r="F123" s="84"/>
      <c r="G123" s="62"/>
      <c r="H123" s="63"/>
      <c r="I123" s="131"/>
      <c r="K123" s="134"/>
    </row>
    <row r="124" spans="1:12" ht="2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記入済</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4375" defaultRowHeight="13.5"/>
  <cols>
    <col min="1" max="1" width="17.3046875" style="346" customWidth="1"/>
    <col min="2" max="2" width="34.84375" style="346" customWidth="1"/>
    <col min="3" max="3" width="23.3046875" style="346" customWidth="1"/>
    <col min="4" max="5" width="15.4609375" style="346" customWidth="1"/>
    <col min="6" max="6" width="28.4609375" style="346" customWidth="1"/>
    <col min="7" max="7" width="27.3046875" style="346" customWidth="1"/>
    <col min="8" max="8" width="20.69140625" style="346" customWidth="1"/>
    <col min="9" max="9" width="30.84375" style="346" customWidth="1"/>
    <col min="10" max="10" width="23.3046875" style="346" customWidth="1"/>
    <col min="11" max="11" width="39.69140625" style="346" customWidth="1"/>
    <col min="12" max="12" width="47.69140625" style="346" customWidth="1"/>
    <col min="13" max="13" width="36.3046875" style="346" customWidth="1"/>
    <col min="14" max="14" width="15.15234375" style="346" hidden="1" customWidth="1"/>
    <col min="15" max="15" width="18.69140625" style="346" hidden="1" customWidth="1"/>
    <col min="16" max="16" width="14.15234375" style="346" hidden="1" customWidth="1"/>
    <col min="17" max="17" width="18.4609375" style="346" hidden="1" customWidth="1"/>
    <col min="18" max="18" width="17.69140625" style="346" hidden="1" customWidth="1"/>
    <col min="19" max="19" width="22.4609375" style="346" hidden="1" customWidth="1"/>
    <col min="20" max="20" width="16.69140625" style="346" customWidth="1"/>
    <col min="21" max="21" width="14" style="346" customWidth="1"/>
    <col min="22" max="22" width="15.4609375" style="346" customWidth="1"/>
    <col min="23" max="23" width="11" style="346" customWidth="1"/>
    <col min="24" max="26" width="10" style="346" customWidth="1"/>
  </cols>
  <sheetData>
    <row r="1" spans="1:19" ht="7.5" hidden="1" customHeight="1"/>
    <row r="2" spans="1:19" s="324" customFormat="1" ht="23">
      <c r="A2" s="325"/>
      <c r="B2" s="474" t="str">
        <f ca="1">OFFSET(L!$C$1,MATCH("Mine List"&amp;ADDRESS(ROW(),COLUMN(),4),L!$A:$A,0)-1,SL,,)</f>
        <v xml:space="preserve">開始するには_x000D_
</v>
      </c>
      <c r="C2" s="474" t="s">
        <v>19144</v>
      </c>
      <c r="D2" s="474" t="s">
        <v>19144</v>
      </c>
      <c r="E2" s="326"/>
      <c r="F2" s="326"/>
      <c r="G2" s="327"/>
      <c r="H2" s="475"/>
      <c r="I2" s="476"/>
      <c r="J2" s="476"/>
      <c r="K2" s="476"/>
      <c r="L2" s="476"/>
      <c r="M2" s="476"/>
      <c r="N2" s="328"/>
      <c r="O2" s="328"/>
    </row>
    <row r="3" spans="1:19" s="324" customFormat="1" ht="94" customHeight="1" thickBot="1">
      <c r="A3" s="360"/>
      <c r="B3" s="477" t="str">
        <f ca="1">OFFSET(L!$C$1,MATCH("Mine List"&amp;ADDRESS(ROW(),COLUMN(),4),L!$A:$A,0)-1,SL,,)</f>
        <v>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v>
      </c>
      <c r="C3" s="477" t="s">
        <v>19144</v>
      </c>
      <c r="D3" s="477" t="s">
        <v>19144</v>
      </c>
      <c r="E3" s="478" t="s">
        <v>19142</v>
      </c>
      <c r="F3" s="478"/>
      <c r="G3" s="479"/>
      <c r="H3" s="329"/>
      <c r="I3" s="330"/>
      <c r="K3" s="331"/>
      <c r="L3" s="331"/>
      <c r="M3" s="332" t="s">
        <v>19342</v>
      </c>
      <c r="N3" s="333"/>
      <c r="O3" s="333"/>
    </row>
    <row r="4" spans="1:19" s="335" customFormat="1" ht="93" customHeight="1" thickBot="1">
      <c r="A4" s="365" t="str">
        <f ca="1">OFFSET(L!$C$1,MATCH("Mine List"&amp;ADDRESS(ROW(),COLUMN(),4),L!$A:$A,0)-1,SL,,)</f>
        <v>金属</v>
      </c>
      <c r="B4" s="366" t="str">
        <f ca="1">OFFSET(L!$C$1,MATCH("Mine List"&amp;ADDRESS(ROW(),COLUMN(),4),L!$A:$A,0)-1,SL,,)</f>
        <v>この鉱山施設を調達元にしている製錬業者の名称</v>
      </c>
      <c r="C4" s="366" t="str">
        <f ca="1">OFFSET(L!$C$1,MATCH("Mine List"&amp;ADDRESS(ROW(),COLUMN(),4),L!$A:$A,0)-1,SL,,)</f>
        <v>鉱山施設(採掘場)所名</v>
      </c>
      <c r="D4" s="366" t="str">
        <f ca="1">OFFSET(L!$C$1,MATCH("Mine List"&amp;ADDRESS(ROW(),COLUMN(),4),L!$A:$A,0)-1,SL,,)</f>
        <v>鉱山施設業者識別番号 (例えば: CID)</v>
      </c>
      <c r="E4" s="366" t="str">
        <f ca="1">OFFSET(L!$C$1,MATCH("Mine List"&amp;ADDRESS(ROW(),COLUMN(),4),L!$A:$A,0)-1,SL,,)</f>
        <v>鉱山施設業者識別番号の発行元</v>
      </c>
      <c r="F4" s="366" t="str">
        <f ca="1">OFFSET(L!$C$1,MATCH("Mine List"&amp;ADDRESS(ROW(),COLUMN(),4),L!$A:$A,0)-1,SL,,)</f>
        <v>鉱山施設業者所在地：国</v>
      </c>
      <c r="G4" s="366" t="str">
        <f ca="1">OFFSET(L!$C$1,MATCH("Mine List"&amp;ADDRESS(ROW(),COLUMN(),4),L!$A:$A,0)-1,SL,,)</f>
        <v>鉱山施設業者所在地：番地</v>
      </c>
      <c r="H4" s="366" t="str">
        <f ca="1">OFFSET(L!$C$1,MATCH("Mine List"&amp;ADDRESS(ROW(),COLUMN(),4),L!$A:$A,0)-1,SL,,)</f>
        <v>鉱山施設業者所在地：市</v>
      </c>
      <c r="I4" s="366" t="str">
        <f ca="1">OFFSET(L!$C$1,MATCH("Mine List"&amp;ADDRESS(ROW(),COLUMN(),4),L!$A:$A,0)-1,SL,,)</f>
        <v>鉱山施設施設所在地：州／県</v>
      </c>
      <c r="J4" s="366" t="str">
        <f ca="1">OFFSET(L!$C$1,MATCH("Mine List"&amp;ADDRESS(ROW(),COLUMN(),4),L!$A:$A,0)-1,SL,,)</f>
        <v>鉱山施設業者連絡先担当者名</v>
      </c>
      <c r="K4" s="366" t="str">
        <f ca="1">OFFSET(L!$C$1,MATCH("Mine List"&amp;ADDRESS(ROW(),COLUMN(),4),L!$A:$A,0)-1,SL,,)</f>
        <v>鉱山施設業者連絡先電子メール</v>
      </c>
      <c r="L4" s="366" t="str">
        <f ca="1">OFFSET(L!$C$1,MATCH("Mine List"&amp;ADDRESS(ROW(),COLUMN(),4),L!$A:$A,0)-1,SL,,)</f>
        <v>今後の対策案</v>
      </c>
      <c r="M4" s="367" t="str">
        <f ca="1">OFFSET(L!$C$1,MATCH("Mine List"&amp;ADDRESS(ROW(),COLUMN(),4),L!$A:$A,0)-1,SL,,)</f>
        <v>備考</v>
      </c>
      <c r="N4" s="333" t="s">
        <v>43</v>
      </c>
      <c r="O4" s="333" t="s">
        <v>44</v>
      </c>
      <c r="P4" s="334"/>
      <c r="R4" s="335" t="s">
        <v>19067</v>
      </c>
      <c r="S4" s="335" t="s">
        <v>19068</v>
      </c>
    </row>
    <row r="5" spans="1:19" s="341" customFormat="1" ht="20"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zoomScale="90" zoomScaleNormal="90" workbookViewId="0">
      <pane xSplit="2" ySplit="5" topLeftCell="C6" activePane="bottomRight" state="frozen"/>
      <selection pane="topRight" activeCell="B24" sqref="B24:J24"/>
      <selection pane="bottomLeft" activeCell="B24" sqref="B24:J24"/>
      <selection pane="bottomRight" activeCell="D17" sqref="D17"/>
    </sheetView>
  </sheetViews>
  <sheetFormatPr defaultColWidth="9" defaultRowHeight="13.5"/>
  <cols>
    <col min="1" max="1" width="3" style="15" customWidth="1"/>
    <col min="2" max="2" width="40" style="91" customWidth="1"/>
    <col min="3" max="3" width="40" style="15" customWidth="1"/>
    <col min="4" max="4" width="59" style="15" customWidth="1"/>
    <col min="5" max="5" width="1.69140625" style="15" customWidth="1"/>
    <col min="6" max="6" width="72" customWidth="1"/>
    <col min="7" max="35" width="9" customWidth="1"/>
    <col min="36" max="16384" width="9" style="17"/>
  </cols>
  <sheetData>
    <row r="1" spans="1:35" ht="34.5" customHeight="1" thickTop="1">
      <c r="A1" s="481" t="str">
        <f ca="1">OFFSET(L!$C$1,MATCH("Product List"&amp;ADDRESS(ROW(),COLUMN(),4),L!$A:$A,0)-1,SL,,)</f>
        <v>「Declaration（申告）」シートの申告範囲で「製品」レベルを選択した場合のみ記入が必須となります</v>
      </c>
      <c r="B1" s="482"/>
      <c r="C1" s="482"/>
      <c r="D1" s="482"/>
      <c r="E1" s="107"/>
    </row>
    <row r="2" spans="1:35">
      <c r="A2" s="19"/>
      <c r="B2" s="109"/>
      <c r="C2" s="109"/>
      <c r="D2"/>
      <c r="E2" s="20"/>
    </row>
    <row r="3" spans="1:35">
      <c r="A3" s="19"/>
      <c r="B3" s="109"/>
      <c r="C3" s="109"/>
      <c r="D3" s="109"/>
      <c r="E3" s="20"/>
    </row>
    <row r="4" spans="1:35" ht="15.75" customHeight="1">
      <c r="A4" s="19"/>
      <c r="B4" s="480" t="s">
        <v>47</v>
      </c>
      <c r="C4" s="480"/>
      <c r="D4" s="480"/>
      <c r="E4" s="20"/>
    </row>
    <row r="5" spans="1:35" ht="30" customHeight="1">
      <c r="A5" s="121"/>
      <c r="B5" s="123" t="str">
        <f ca="1">OFFSET(L!$C$1,MATCH("Product List"&amp;ADDRESS(ROW(),COLUMN(),4),L!$A:$A,0)-1,SL,,)</f>
        <v>回答者製品番号(*)</v>
      </c>
      <c r="C5" s="123" t="str">
        <f ca="1">OFFSET(L!$C$1,MATCH("Product List"&amp;ADDRESS(ROW(),COLUMN(),4),L!$A:$A,0)-1,SL,,)</f>
        <v>回答者の製品名</v>
      </c>
      <c r="D5" s="64" t="str">
        <f ca="1">OFFSET(L!$C$1,MATCH("Product List"&amp;ADDRESS(ROW(),COLUMN(),4),L!$A:$A,0)-1,SL,,)</f>
        <v>備考</v>
      </c>
      <c r="E5" s="20"/>
    </row>
    <row r="6" spans="1:35" s="23" customFormat="1" ht="15">
      <c r="A6" s="118"/>
      <c r="B6" s="387" t="s">
        <v>20057</v>
      </c>
      <c r="C6" s="388" t="s">
        <v>20057</v>
      </c>
      <c r="D6" s="388" t="s">
        <v>20064</v>
      </c>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387" t="s">
        <v>20058</v>
      </c>
      <c r="C7" s="89" t="s">
        <v>20058</v>
      </c>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387" t="s">
        <v>20059</v>
      </c>
      <c r="C8" s="89" t="s">
        <v>20059</v>
      </c>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387" t="s">
        <v>20060</v>
      </c>
      <c r="C9" s="89" t="s">
        <v>20060</v>
      </c>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t="s">
        <v>20061</v>
      </c>
      <c r="C10" s="89" t="s">
        <v>20061</v>
      </c>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t="s">
        <v>20062</v>
      </c>
      <c r="C11" s="89" t="s">
        <v>20062</v>
      </c>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35">
      <c r="A12" s="119"/>
      <c r="B12" s="110" t="s">
        <v>20063</v>
      </c>
      <c r="C12" s="89" t="s">
        <v>20063</v>
      </c>
      <c r="D12" s="388" t="s">
        <v>20065</v>
      </c>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3" t="str">
        <f ca="1">OFFSET(L!$C$1,MATCH("General"&amp;"Cpy",L!$A:$A,0)-1,SL,,)</f>
        <v>© 2025 Responsible Minerals Initiative. 無断転載・再配布禁止。</v>
      </c>
      <c r="C1001" s="483"/>
      <c r="D1001" s="483"/>
      <c r="E1001" s="21"/>
    </row>
    <row r="1002" spans="1:35" ht="14"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3.5"/>
  <cols>
    <col min="1" max="1" width="9" style="156" bestFit="1" customWidth="1"/>
    <col min="2" max="2" width="43" style="156" customWidth="1"/>
    <col min="3" max="3" width="40" style="156" customWidth="1"/>
    <col min="4" max="4" width="23" style="156" customWidth="1"/>
    <col min="5" max="5" width="12.69140625" style="156" customWidth="1"/>
    <col min="6" max="6" width="12.69140625" style="157" customWidth="1"/>
    <col min="7" max="7" width="15.15234375" style="156" customWidth="1"/>
    <col min="8" max="8" width="24" style="156" customWidth="1"/>
    <col min="9" max="9" width="28" style="156" customWidth="1"/>
    <col min="10" max="10" width="11" style="156" hidden="1" customWidth="1"/>
    <col min="11" max="11" width="110.69140625" style="156" hidden="1" customWidth="1"/>
    <col min="12" max="12" width="17.4609375" style="156" customWidth="1"/>
    <col min="13" max="13" width="16" style="156" customWidth="1"/>
    <col min="14" max="16384" width="9" style="156"/>
  </cols>
  <sheetData>
    <row r="1" spans="1:13" ht="180" customHeight="1">
      <c r="A1" s="484" t="str">
        <f ca="1">OFFSET(L!$C$1,MATCH("Smelter Look-up"&amp;ADDRESS(ROW(),COLUMN(),4),L!$A:$A,0)-1,SL,,)</f>
        <v>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v>
      </c>
      <c r="B1" s="484"/>
      <c r="C1" s="484"/>
      <c r="D1" s="484"/>
      <c r="E1" s="484"/>
      <c r="F1" s="484"/>
      <c r="G1" s="484"/>
    </row>
    <row r="2" spans="1:13">
      <c r="A2" s="485"/>
      <c r="B2" s="485"/>
      <c r="C2" s="485"/>
      <c r="D2" s="485"/>
      <c r="E2" s="485"/>
      <c r="F2" s="485"/>
      <c r="G2" s="485"/>
      <c r="H2" s="485"/>
      <c r="I2" s="485"/>
    </row>
    <row r="3" spans="1:13">
      <c r="A3" s="485"/>
      <c r="B3" s="485"/>
      <c r="C3" s="485"/>
      <c r="D3" s="485"/>
      <c r="E3" s="485"/>
      <c r="F3" s="485"/>
      <c r="G3" s="485"/>
      <c r="H3" s="485"/>
      <c r="I3" s="485"/>
    </row>
    <row r="4" spans="1:13" s="160" customFormat="1" ht="103.5" customHeight="1">
      <c r="A4" s="158" t="str">
        <f ca="1">OFFSET(L!$C$1,MATCH("Smelter Look-up"&amp;ADDRESS(ROW(),COLUMN(),4),L!$A:$A,0)-1,SL,,)</f>
        <v>金属</v>
      </c>
      <c r="B4" s="158" t="str">
        <f ca="1">OFFSET(L!$C$1,MATCH("Smelter Look-up"&amp;ADDRESS(ROW(),COLUMN(),4),L!$A:$A,0)-1,SL,,)</f>
        <v>Smelter Look-Up（製錬業者名検索）（*）</v>
      </c>
      <c r="C4" s="158" t="str">
        <f ca="1">OFFSET(L!$C$1,MATCH("Smelter Look-up"&amp;ADDRESS(ROW(),COLUMN(),4),L!$A:$A,0)-1,SL,,)</f>
        <v>標準製錬業者名</v>
      </c>
      <c r="D4" s="158" t="str">
        <f ca="1">OFFSET(L!$C$1,MATCH("Smelter Look-up"&amp;ADDRESS(ROW(),COLUMN(),4),L!$A:$A,0)-1,SL,,)</f>
        <v>製錬施設所在地：国</v>
      </c>
      <c r="E4" s="158" t="str">
        <f ca="1">OFFSET(L!$C$1,MATCH("Smelter Look-up"&amp;ADDRESS(ROW(),COLUMN(),4),L!$A:$A,0)-1,SL,,)</f>
        <v>製錬業者ID</v>
      </c>
      <c r="F4" s="158" t="str">
        <f ca="1">OFFSET(L!$C$1,MATCH("Smelter Look-up"&amp;ADDRESS(ROW(),COLUMN(),4),L!$A:$A,0)-1,SL,,)</f>
        <v>製錬業者識別番号の発行元</v>
      </c>
      <c r="G4" s="158" t="str">
        <f ca="1">OFFSET(L!$C$1,MATCH("Smelter Look-up"&amp;ADDRESS(ROW(),COLUMN(),4),L!$A:$A,0)-1,SL,,)</f>
        <v>製錬業者所在地：番地</v>
      </c>
      <c r="H4" s="158" t="str">
        <f ca="1">OFFSET(L!$C$1,MATCH("Smelter Look-up"&amp;ADDRESS(ROW(),COLUMN(),4),L!$A:$A,0)-1,SL,,)</f>
        <v>製錬業者所在地：市</v>
      </c>
      <c r="I4" s="158" t="str">
        <f ca="1">OFFSET(L!$C$1,MATCH("Smelter Look-up"&amp;ADDRESS(ROW(),COLUMN(),4),L!$A:$A,0)-1,SL,,)</f>
        <v>製錬施設所在地：州／県</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69140625" defaultRowHeight="14"/>
  <cols>
    <col min="1" max="1" width="14.69140625" style="126" customWidth="1"/>
    <col min="2" max="2" width="14" style="126" customWidth="1"/>
    <col min="3" max="3" width="6" style="126" customWidth="1"/>
    <col min="4" max="4" width="51" style="126" customWidth="1"/>
    <col min="5" max="5" width="46" style="240" customWidth="1"/>
    <col min="6" max="6" width="61.69140625" style="241" customWidth="1"/>
    <col min="7" max="7" width="61.69140625" style="126" customWidth="1"/>
    <col min="8" max="8" width="65.69140625" style="143" customWidth="1"/>
    <col min="9" max="9" width="51.4609375" style="188" customWidth="1"/>
    <col min="10" max="16384" width="8.69140625" style="188"/>
  </cols>
  <sheetData>
    <row r="1" spans="1:9">
      <c r="B1" s="126" t="s">
        <v>361</v>
      </c>
      <c r="C1" s="126" t="s">
        <v>362</v>
      </c>
      <c r="D1" s="126" t="s">
        <v>17</v>
      </c>
      <c r="E1" s="240" t="s">
        <v>363</v>
      </c>
      <c r="F1" s="241" t="s">
        <v>364</v>
      </c>
      <c r="G1" s="126" t="s">
        <v>365</v>
      </c>
      <c r="H1" s="276" t="s">
        <v>366</v>
      </c>
      <c r="I1" s="188" t="s">
        <v>18438</v>
      </c>
    </row>
    <row r="2" spans="1:9" ht="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08">
      <c r="A9" s="126" t="str">
        <f t="shared" ref="A9" si="1">B9&amp;C9</f>
        <v>InstructionsA9</v>
      </c>
      <c r="B9" s="126" t="s">
        <v>367</v>
      </c>
      <c r="C9" s="126" t="s">
        <v>395</v>
      </c>
      <c r="D9" s="126" t="s">
        <v>19324</v>
      </c>
      <c r="E9" s="240" t="s">
        <v>19482</v>
      </c>
      <c r="F9" s="241" t="s">
        <v>19959</v>
      </c>
      <c r="G9" s="126" t="s">
        <v>19960</v>
      </c>
      <c r="H9" s="276" t="s">
        <v>19961</v>
      </c>
      <c r="I9" s="100" t="s">
        <v>19962</v>
      </c>
    </row>
    <row r="10" spans="1:9" ht="40.5">
      <c r="A10" s="126" t="str">
        <f t="shared" si="0"/>
        <v>InstructionsA10</v>
      </c>
      <c r="B10" s="126" t="s">
        <v>367</v>
      </c>
      <c r="C10" s="126" t="s">
        <v>396</v>
      </c>
      <c r="D10" s="126" t="s">
        <v>19325</v>
      </c>
      <c r="E10" s="240" t="s">
        <v>19991</v>
      </c>
      <c r="F10" s="241" t="s">
        <v>20003</v>
      </c>
      <c r="G10" s="126" t="s">
        <v>20015</v>
      </c>
      <c r="H10" s="276" t="s">
        <v>20027</v>
      </c>
      <c r="I10" s="126" t="s">
        <v>20040</v>
      </c>
    </row>
    <row r="11" spans="1:9" ht="28">
      <c r="A11" s="126" t="str">
        <f>B11&amp;C11</f>
        <v>InstructionsA11</v>
      </c>
      <c r="B11" s="126" t="s">
        <v>367</v>
      </c>
      <c r="C11" s="126" t="s">
        <v>397</v>
      </c>
      <c r="D11" s="126" t="s">
        <v>19326</v>
      </c>
      <c r="E11" s="240" t="s">
        <v>19992</v>
      </c>
      <c r="F11" s="241" t="s">
        <v>20004</v>
      </c>
      <c r="G11" s="126" t="s">
        <v>20016</v>
      </c>
      <c r="H11" s="276" t="s">
        <v>20028</v>
      </c>
      <c r="I11" s="126" t="s">
        <v>20039</v>
      </c>
    </row>
    <row r="12" spans="1:9" ht="27">
      <c r="A12" s="126" t="str">
        <f t="shared" si="0"/>
        <v>InstructionsA12</v>
      </c>
      <c r="B12" s="126" t="s">
        <v>367</v>
      </c>
      <c r="C12" s="126" t="s">
        <v>398</v>
      </c>
      <c r="D12" s="126" t="s">
        <v>19327</v>
      </c>
      <c r="E12" s="221" t="s">
        <v>19993</v>
      </c>
      <c r="F12" s="243" t="s">
        <v>20005</v>
      </c>
      <c r="G12" s="126" t="s">
        <v>20017</v>
      </c>
      <c r="H12" s="276" t="s">
        <v>20029</v>
      </c>
      <c r="I12" s="126" t="s">
        <v>20041</v>
      </c>
    </row>
    <row r="13" spans="1:9" ht="40.5">
      <c r="A13" s="126" t="str">
        <f t="shared" si="0"/>
        <v>InstructionsA13</v>
      </c>
      <c r="B13" s="126" t="s">
        <v>367</v>
      </c>
      <c r="C13" s="126" t="s">
        <v>399</v>
      </c>
      <c r="D13" s="126" t="s">
        <v>19328</v>
      </c>
      <c r="E13" s="240" t="s">
        <v>19994</v>
      </c>
      <c r="F13" s="241" t="s">
        <v>20006</v>
      </c>
      <c r="G13" s="126" t="s">
        <v>20018</v>
      </c>
      <c r="H13" s="276" t="s">
        <v>20030</v>
      </c>
      <c r="I13" s="126" t="s">
        <v>20042</v>
      </c>
    </row>
    <row r="14" spans="1:9" ht="67.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1">
      <c r="A16" s="126" t="str">
        <f t="shared" si="0"/>
        <v>InstructionsA16</v>
      </c>
      <c r="B16" s="126" t="s">
        <v>367</v>
      </c>
      <c r="C16" s="126" t="s">
        <v>402</v>
      </c>
      <c r="D16" s="126" t="s">
        <v>19331</v>
      </c>
      <c r="E16" s="240" t="s">
        <v>19997</v>
      </c>
      <c r="F16" s="241" t="s">
        <v>20009</v>
      </c>
      <c r="G16" s="126" t="s">
        <v>20021</v>
      </c>
      <c r="H16" s="276" t="s">
        <v>20033</v>
      </c>
      <c r="I16" s="126" t="s">
        <v>20045</v>
      </c>
    </row>
    <row r="17" spans="1:9" ht="27">
      <c r="A17" s="126" t="str">
        <f t="shared" si="0"/>
        <v>InstructionsA17</v>
      </c>
      <c r="B17" s="126" t="s">
        <v>367</v>
      </c>
      <c r="C17" s="126" t="s">
        <v>403</v>
      </c>
      <c r="D17" s="126" t="s">
        <v>19332</v>
      </c>
      <c r="E17" s="221" t="s">
        <v>19998</v>
      </c>
      <c r="F17" s="243" t="s">
        <v>20010</v>
      </c>
      <c r="G17" s="126" t="s">
        <v>20022</v>
      </c>
      <c r="H17" s="276" t="s">
        <v>20034</v>
      </c>
      <c r="I17" s="126" t="s">
        <v>20046</v>
      </c>
    </row>
    <row r="18" spans="1:9" ht="67.5">
      <c r="A18" s="126" t="str">
        <f t="shared" si="0"/>
        <v>InstructionsA18</v>
      </c>
      <c r="B18" s="126" t="s">
        <v>367</v>
      </c>
      <c r="C18" s="126" t="s">
        <v>404</v>
      </c>
      <c r="D18" s="126" t="s">
        <v>19333</v>
      </c>
      <c r="E18" s="240" t="s">
        <v>19999</v>
      </c>
      <c r="F18" s="241" t="s">
        <v>20011</v>
      </c>
      <c r="G18" s="126" t="s">
        <v>20023</v>
      </c>
      <c r="H18" s="276" t="s">
        <v>20035</v>
      </c>
      <c r="I18" s="126" t="s">
        <v>20047</v>
      </c>
    </row>
    <row r="19" spans="1:9" ht="27">
      <c r="A19" s="126" t="str">
        <f>B19&amp;C19</f>
        <v>InstructionsA19</v>
      </c>
      <c r="B19" s="126" t="s">
        <v>367</v>
      </c>
      <c r="C19" s="126" t="s">
        <v>405</v>
      </c>
      <c r="D19" s="126" t="s">
        <v>19334</v>
      </c>
      <c r="E19" s="126" t="s">
        <v>20000</v>
      </c>
      <c r="F19" s="243" t="s">
        <v>20012</v>
      </c>
      <c r="G19" s="126" t="s">
        <v>20024</v>
      </c>
      <c r="H19" s="276" t="s">
        <v>20036</v>
      </c>
      <c r="I19" s="126" t="s">
        <v>20048</v>
      </c>
    </row>
    <row r="20" spans="1:9" ht="40.5">
      <c r="A20" s="126" t="str">
        <f t="shared" si="0"/>
        <v>InstructionsA20</v>
      </c>
      <c r="B20" s="126" t="s">
        <v>367</v>
      </c>
      <c r="C20" s="126" t="s">
        <v>406</v>
      </c>
      <c r="D20" s="126" t="s">
        <v>19335</v>
      </c>
      <c r="E20" s="240" t="s">
        <v>20001</v>
      </c>
      <c r="F20" s="241" t="s">
        <v>20013</v>
      </c>
      <c r="G20" s="126" t="s">
        <v>20025</v>
      </c>
      <c r="H20" s="279" t="s">
        <v>20037</v>
      </c>
      <c r="I20" s="126" t="s">
        <v>20049</v>
      </c>
    </row>
    <row r="21" spans="1:9" ht="40.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08">
      <c r="A23" s="126" t="str">
        <f t="shared" si="0"/>
        <v>InstructionsA24</v>
      </c>
      <c r="B23" s="126" t="s">
        <v>367</v>
      </c>
      <c r="C23" s="126" t="s">
        <v>408</v>
      </c>
      <c r="D23" s="126" t="s">
        <v>19374</v>
      </c>
      <c r="E23" s="240" t="s">
        <v>19483</v>
      </c>
      <c r="F23" s="241" t="s">
        <v>19484</v>
      </c>
      <c r="G23" s="242" t="s">
        <v>19485</v>
      </c>
      <c r="H23" s="279" t="s">
        <v>19486</v>
      </c>
      <c r="I23" s="126" t="s">
        <v>19487</v>
      </c>
    </row>
    <row r="24" spans="1:9" ht="30">
      <c r="A24" s="126" t="str">
        <f>B24&amp;C24</f>
        <v>InstructionsA25</v>
      </c>
      <c r="B24" s="126" t="s">
        <v>367</v>
      </c>
      <c r="C24" s="126" t="s">
        <v>414</v>
      </c>
      <c r="D24" s="126" t="s">
        <v>409</v>
      </c>
      <c r="E24" s="240" t="s">
        <v>410</v>
      </c>
      <c r="F24" s="241" t="s">
        <v>411</v>
      </c>
      <c r="G24" s="126" t="s">
        <v>412</v>
      </c>
      <c r="H24" s="279" t="s">
        <v>413</v>
      </c>
      <c r="I24" s="126" t="s">
        <v>18442</v>
      </c>
    </row>
    <row r="25" spans="1:9" ht="81">
      <c r="A25" s="126" t="str">
        <f t="shared" si="0"/>
        <v>InstructionsA26</v>
      </c>
      <c r="B25" s="126" t="s">
        <v>367</v>
      </c>
      <c r="C25" s="126" t="s">
        <v>415</v>
      </c>
      <c r="D25" s="126" t="s">
        <v>19259</v>
      </c>
      <c r="E25" s="240" t="s">
        <v>19488</v>
      </c>
      <c r="F25" s="271" t="s">
        <v>19492</v>
      </c>
      <c r="G25" s="126" t="s">
        <v>19489</v>
      </c>
      <c r="H25" s="276" t="s">
        <v>19490</v>
      </c>
      <c r="I25" s="126" t="s">
        <v>19491</v>
      </c>
    </row>
    <row r="26" spans="1:9" ht="229.5">
      <c r="A26" s="126" t="str">
        <f t="shared" si="0"/>
        <v>InstructionsA27</v>
      </c>
      <c r="B26" s="126" t="s">
        <v>367</v>
      </c>
      <c r="C26" s="126" t="s">
        <v>416</v>
      </c>
      <c r="D26" s="126" t="s">
        <v>19493</v>
      </c>
      <c r="E26" s="244" t="s">
        <v>19494</v>
      </c>
      <c r="F26" s="271" t="s">
        <v>19871</v>
      </c>
      <c r="G26" s="126" t="s">
        <v>19506</v>
      </c>
      <c r="H26" s="276" t="s">
        <v>19495</v>
      </c>
      <c r="I26" s="126" t="s">
        <v>19496</v>
      </c>
    </row>
    <row r="27" spans="1:9" ht="40.5">
      <c r="A27" s="126" t="str">
        <f t="shared" si="0"/>
        <v>InstructionsA28</v>
      </c>
      <c r="B27" s="126" t="s">
        <v>367</v>
      </c>
      <c r="C27" s="126" t="s">
        <v>422</v>
      </c>
      <c r="D27" s="126" t="s">
        <v>417</v>
      </c>
      <c r="E27" s="240" t="s">
        <v>418</v>
      </c>
      <c r="F27" s="241" t="s">
        <v>419</v>
      </c>
      <c r="G27" s="126" t="s">
        <v>420</v>
      </c>
      <c r="H27" s="276" t="s">
        <v>421</v>
      </c>
      <c r="I27" s="126" t="s">
        <v>18443</v>
      </c>
    </row>
    <row r="28" spans="1:9" ht="40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29.5">
      <c r="A30" s="126" t="str">
        <f t="shared" si="2"/>
        <v>InstructionsA31</v>
      </c>
      <c r="B30" s="126" t="s">
        <v>367</v>
      </c>
      <c r="C30" s="126" t="s">
        <v>425</v>
      </c>
      <c r="D30" s="126" t="s">
        <v>19321</v>
      </c>
      <c r="E30" s="381" t="s">
        <v>19875</v>
      </c>
      <c r="F30" s="241" t="s">
        <v>19874</v>
      </c>
      <c r="G30" s="126" t="s">
        <v>19876</v>
      </c>
      <c r="H30" s="276" t="s">
        <v>19877</v>
      </c>
      <c r="I30" s="126" t="s">
        <v>19878</v>
      </c>
    </row>
    <row r="31" spans="1:9" ht="229.5">
      <c r="A31" s="126" t="str">
        <f t="shared" si="2"/>
        <v>InstructionsA32</v>
      </c>
      <c r="B31" s="126" t="s">
        <v>367</v>
      </c>
      <c r="C31" s="126" t="s">
        <v>426</v>
      </c>
      <c r="D31" s="126" t="s">
        <v>19322</v>
      </c>
      <c r="E31" s="126" t="s">
        <v>19880</v>
      </c>
      <c r="F31" s="245" t="s">
        <v>19879</v>
      </c>
      <c r="G31" s="126" t="s">
        <v>19881</v>
      </c>
      <c r="H31" s="276" t="s">
        <v>19882</v>
      </c>
      <c r="I31" s="126" t="s">
        <v>19883</v>
      </c>
    </row>
    <row r="32" spans="1:9" ht="135">
      <c r="A32" s="126" t="str">
        <f t="shared" si="2"/>
        <v>InstructionsA33</v>
      </c>
      <c r="B32" s="126" t="s">
        <v>367</v>
      </c>
      <c r="C32" s="126" t="s">
        <v>427</v>
      </c>
      <c r="D32" s="126" t="s">
        <v>19263</v>
      </c>
      <c r="E32" s="381" t="s">
        <v>19507</v>
      </c>
      <c r="F32" s="245" t="s">
        <v>19884</v>
      </c>
      <c r="G32" s="126" t="s">
        <v>19508</v>
      </c>
      <c r="H32" s="276" t="s">
        <v>19509</v>
      </c>
      <c r="I32" s="126" t="s">
        <v>19510</v>
      </c>
    </row>
    <row r="33" spans="1:9" ht="13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0">
      <c r="A35" s="126" t="str">
        <f t="shared" si="0"/>
        <v>InstructionsA37</v>
      </c>
      <c r="B35" s="126" t="s">
        <v>367</v>
      </c>
      <c r="C35" s="126" t="s">
        <v>429</v>
      </c>
      <c r="D35" s="126" t="s">
        <v>19262</v>
      </c>
      <c r="E35" s="240" t="s">
        <v>19519</v>
      </c>
      <c r="F35" s="241" t="s">
        <v>19887</v>
      </c>
      <c r="G35" s="248" t="s">
        <v>19520</v>
      </c>
      <c r="H35" s="276" t="s">
        <v>19521</v>
      </c>
      <c r="I35" s="126" t="s">
        <v>19522</v>
      </c>
    </row>
    <row r="36" spans="1:9" ht="54">
      <c r="A36" s="126" t="str">
        <f t="shared" si="0"/>
        <v>InstructionsA38</v>
      </c>
      <c r="B36" s="126" t="s">
        <v>367</v>
      </c>
      <c r="C36" s="126" t="s">
        <v>434</v>
      </c>
      <c r="D36" s="126" t="s">
        <v>19265</v>
      </c>
      <c r="E36" s="244" t="s">
        <v>430</v>
      </c>
      <c r="F36" s="271" t="s">
        <v>431</v>
      </c>
      <c r="G36" s="126" t="s">
        <v>432</v>
      </c>
      <c r="H36" s="276" t="s">
        <v>433</v>
      </c>
      <c r="I36" s="126" t="s">
        <v>18444</v>
      </c>
    </row>
    <row r="37" spans="1:9" ht="81">
      <c r="A37" s="126" t="str">
        <f t="shared" si="0"/>
        <v>InstructionsA39</v>
      </c>
      <c r="B37" s="126" t="s">
        <v>367</v>
      </c>
      <c r="C37" s="126" t="s">
        <v>435</v>
      </c>
      <c r="D37" s="126" t="s">
        <v>19266</v>
      </c>
      <c r="E37" s="244" t="s">
        <v>19524</v>
      </c>
      <c r="F37" s="271" t="s">
        <v>19525</v>
      </c>
      <c r="G37" s="126" t="s">
        <v>19527</v>
      </c>
      <c r="H37" s="276" t="s">
        <v>19529</v>
      </c>
      <c r="I37" s="126" t="s">
        <v>19531</v>
      </c>
    </row>
    <row r="38" spans="1:9" ht="108">
      <c r="A38" s="126" t="str">
        <f t="shared" si="0"/>
        <v>InstructionsA40</v>
      </c>
      <c r="B38" s="126" t="s">
        <v>367</v>
      </c>
      <c r="C38" s="126" t="s">
        <v>436</v>
      </c>
      <c r="D38" s="126" t="s">
        <v>19267</v>
      </c>
      <c r="E38" s="381" t="s">
        <v>19523</v>
      </c>
      <c r="F38" s="272" t="s">
        <v>19888</v>
      </c>
      <c r="G38" s="126" t="s">
        <v>19526</v>
      </c>
      <c r="H38" s="276" t="s">
        <v>19528</v>
      </c>
      <c r="I38" s="126" t="s">
        <v>19530</v>
      </c>
    </row>
    <row r="39" spans="1:9" ht="175.5">
      <c r="A39" s="126" t="str">
        <f t="shared" si="0"/>
        <v>InstructionsA41</v>
      </c>
      <c r="B39" s="126" t="s">
        <v>367</v>
      </c>
      <c r="C39" s="126" t="s">
        <v>442</v>
      </c>
      <c r="D39" s="126" t="s">
        <v>437</v>
      </c>
      <c r="E39" s="247" t="s">
        <v>438</v>
      </c>
      <c r="F39" s="273" t="s">
        <v>439</v>
      </c>
      <c r="G39" s="246" t="s">
        <v>440</v>
      </c>
      <c r="H39" s="276" t="s">
        <v>441</v>
      </c>
      <c r="I39" s="126" t="s">
        <v>18445</v>
      </c>
    </row>
    <row r="40" spans="1:9" ht="216">
      <c r="A40" s="126" t="str">
        <f>B40&amp;C40</f>
        <v>InstructionsA42</v>
      </c>
      <c r="B40" s="126" t="s">
        <v>367</v>
      </c>
      <c r="C40" s="126" t="s">
        <v>448</v>
      </c>
      <c r="D40" s="126" t="s">
        <v>443</v>
      </c>
      <c r="E40" s="247" t="s">
        <v>444</v>
      </c>
      <c r="F40" s="273" t="s">
        <v>445</v>
      </c>
      <c r="G40" s="249" t="s">
        <v>446</v>
      </c>
      <c r="H40" s="280" t="s">
        <v>447</v>
      </c>
      <c r="I40" s="126" t="s">
        <v>18446</v>
      </c>
    </row>
    <row r="41" spans="1:9" ht="216">
      <c r="A41" s="126" t="str">
        <f>B41&amp;C41</f>
        <v>InstructionsA43</v>
      </c>
      <c r="B41" s="126" t="s">
        <v>367</v>
      </c>
      <c r="C41" s="126" t="s">
        <v>454</v>
      </c>
      <c r="D41" s="126" t="s">
        <v>449</v>
      </c>
      <c r="E41" s="240" t="s">
        <v>450</v>
      </c>
      <c r="F41" s="271" t="s">
        <v>451</v>
      </c>
      <c r="G41" s="126" t="s">
        <v>452</v>
      </c>
      <c r="H41" s="276" t="s">
        <v>453</v>
      </c>
      <c r="I41" s="126" t="s">
        <v>18447</v>
      </c>
    </row>
    <row r="42" spans="1:9" ht="81">
      <c r="A42" s="126" t="str">
        <f t="shared" si="0"/>
        <v>InstructionsA44</v>
      </c>
      <c r="B42" s="126" t="s">
        <v>367</v>
      </c>
      <c r="C42" s="126" t="s">
        <v>19339</v>
      </c>
      <c r="D42" s="126" t="s">
        <v>455</v>
      </c>
      <c r="E42" s="240" t="s">
        <v>456</v>
      </c>
      <c r="F42" s="271" t="s">
        <v>19533</v>
      </c>
      <c r="G42" s="126" t="s">
        <v>457</v>
      </c>
      <c r="H42" s="276" t="s">
        <v>458</v>
      </c>
      <c r="I42" s="126" t="s">
        <v>18448</v>
      </c>
    </row>
    <row r="43" spans="1:9" ht="67.5">
      <c r="A43" s="126" t="str">
        <f t="shared" si="0"/>
        <v>InstructionsA46</v>
      </c>
      <c r="B43" s="126" t="s">
        <v>367</v>
      </c>
      <c r="C43" s="126" t="s">
        <v>464</v>
      </c>
      <c r="D43" s="126" t="s">
        <v>459</v>
      </c>
      <c r="E43" s="240" t="s">
        <v>460</v>
      </c>
      <c r="F43" s="241" t="s">
        <v>461</v>
      </c>
      <c r="G43" s="126" t="s">
        <v>462</v>
      </c>
      <c r="H43" s="276" t="s">
        <v>463</v>
      </c>
      <c r="I43" s="126" t="s">
        <v>18449</v>
      </c>
    </row>
    <row r="44" spans="1:9" ht="94.5">
      <c r="A44" s="126" t="str">
        <f t="shared" si="0"/>
        <v>InstructionsA47</v>
      </c>
      <c r="B44" s="126" t="s">
        <v>367</v>
      </c>
      <c r="C44" s="126" t="s">
        <v>19340</v>
      </c>
      <c r="D44" s="126" t="s">
        <v>19268</v>
      </c>
      <c r="E44" s="244" t="s">
        <v>465</v>
      </c>
      <c r="F44" s="271" t="s">
        <v>466</v>
      </c>
      <c r="G44" s="248" t="s">
        <v>467</v>
      </c>
      <c r="H44" s="276" t="s">
        <v>468</v>
      </c>
      <c r="I44" s="126" t="s">
        <v>18450</v>
      </c>
    </row>
    <row r="45" spans="1:9" ht="67.5">
      <c r="A45" s="126" t="str">
        <f t="shared" si="0"/>
        <v>InstructionsA48</v>
      </c>
      <c r="B45" s="234" t="s">
        <v>367</v>
      </c>
      <c r="C45" s="126" t="s">
        <v>469</v>
      </c>
      <c r="D45" s="234" t="s">
        <v>470</v>
      </c>
      <c r="E45" s="240" t="s">
        <v>471</v>
      </c>
      <c r="F45" s="241" t="s">
        <v>472</v>
      </c>
      <c r="G45" s="250" t="s">
        <v>473</v>
      </c>
      <c r="H45" s="276" t="s">
        <v>474</v>
      </c>
      <c r="I45" s="126" t="s">
        <v>18451</v>
      </c>
    </row>
    <row r="46" spans="1:9" ht="67.5">
      <c r="A46" s="126" t="str">
        <f>B46&amp;C46</f>
        <v>InstructionsA49</v>
      </c>
      <c r="B46" s="126" t="s">
        <v>367</v>
      </c>
      <c r="C46" s="126" t="s">
        <v>475</v>
      </c>
      <c r="D46" s="126" t="s">
        <v>19389</v>
      </c>
      <c r="E46" s="126" t="s">
        <v>19532</v>
      </c>
      <c r="F46" s="241" t="s">
        <v>19889</v>
      </c>
      <c r="G46" s="126" t="s">
        <v>19534</v>
      </c>
      <c r="H46" s="279" t="s">
        <v>19535</v>
      </c>
      <c r="I46" s="126" t="s">
        <v>19536</v>
      </c>
    </row>
    <row r="47" spans="1:9" ht="135">
      <c r="A47" s="126" t="str">
        <f t="shared" si="0"/>
        <v>InstructionsA50</v>
      </c>
      <c r="B47" s="126" t="s">
        <v>367</v>
      </c>
      <c r="C47" s="126" t="s">
        <v>476</v>
      </c>
      <c r="D47" s="126" t="s">
        <v>477</v>
      </c>
      <c r="E47" s="274" t="s">
        <v>478</v>
      </c>
      <c r="F47" s="271" t="s">
        <v>479</v>
      </c>
      <c r="G47" s="126" t="s">
        <v>480</v>
      </c>
      <c r="H47" s="276" t="s">
        <v>481</v>
      </c>
      <c r="I47" s="126" t="s">
        <v>18452</v>
      </c>
    </row>
    <row r="48" spans="1:9" ht="67.5">
      <c r="A48" s="126" t="str">
        <f t="shared" si="0"/>
        <v>InstructionsA51</v>
      </c>
      <c r="B48" s="126" t="s">
        <v>367</v>
      </c>
      <c r="C48" s="126" t="s">
        <v>482</v>
      </c>
      <c r="D48" s="126" t="s">
        <v>19388</v>
      </c>
      <c r="E48" s="240" t="s">
        <v>483</v>
      </c>
      <c r="F48" s="241" t="s">
        <v>484</v>
      </c>
      <c r="G48" s="126" t="s">
        <v>485</v>
      </c>
      <c r="H48" s="276" t="s">
        <v>486</v>
      </c>
      <c r="I48" s="126" t="s">
        <v>18453</v>
      </c>
    </row>
    <row r="49" spans="1:9" ht="81">
      <c r="A49" s="126" t="str">
        <f t="shared" si="0"/>
        <v>InstructionsA52</v>
      </c>
      <c r="B49" s="126" t="s">
        <v>367</v>
      </c>
      <c r="C49" s="126" t="s">
        <v>487</v>
      </c>
      <c r="D49" s="126" t="s">
        <v>488</v>
      </c>
      <c r="E49" s="240" t="s">
        <v>489</v>
      </c>
      <c r="F49" s="241" t="s">
        <v>490</v>
      </c>
      <c r="G49" s="251" t="s">
        <v>491</v>
      </c>
      <c r="H49" s="276" t="s">
        <v>492</v>
      </c>
      <c r="I49" s="126" t="s">
        <v>18454</v>
      </c>
    </row>
    <row r="50" spans="1:9" ht="108">
      <c r="A50" s="126" t="str">
        <f>B50&amp;C50</f>
        <v>InstructionsA53</v>
      </c>
      <c r="B50" s="126" t="s">
        <v>367</v>
      </c>
      <c r="C50" s="126" t="s">
        <v>493</v>
      </c>
      <c r="D50" s="126" t="s">
        <v>494</v>
      </c>
      <c r="E50" s="240" t="s">
        <v>495</v>
      </c>
      <c r="F50" s="241" t="s">
        <v>496</v>
      </c>
      <c r="G50" s="251" t="s">
        <v>497</v>
      </c>
      <c r="H50" s="279" t="s">
        <v>498</v>
      </c>
      <c r="I50" s="126" t="s">
        <v>18455</v>
      </c>
    </row>
    <row r="51" spans="1:9" ht="67.5">
      <c r="A51" s="126" t="str">
        <f>B51&amp;C51</f>
        <v>InstructionsA54</v>
      </c>
      <c r="B51" s="126" t="s">
        <v>367</v>
      </c>
      <c r="C51" s="126" t="s">
        <v>499</v>
      </c>
      <c r="D51" s="126" t="s">
        <v>500</v>
      </c>
      <c r="E51" s="240" t="s">
        <v>501</v>
      </c>
      <c r="F51" s="241" t="s">
        <v>502</v>
      </c>
      <c r="G51" s="251" t="s">
        <v>503</v>
      </c>
      <c r="H51" s="276" t="s">
        <v>504</v>
      </c>
      <c r="I51" s="126" t="s">
        <v>18456</v>
      </c>
    </row>
    <row r="52" spans="1:9" ht="40.5">
      <c r="A52" s="126" t="str">
        <f t="shared" si="0"/>
        <v>InstructionsA55</v>
      </c>
      <c r="B52" s="126" t="s">
        <v>367</v>
      </c>
      <c r="C52" s="126" t="s">
        <v>505</v>
      </c>
      <c r="D52" s="126" t="s">
        <v>506</v>
      </c>
      <c r="E52" s="240" t="s">
        <v>507</v>
      </c>
      <c r="F52" s="241" t="s">
        <v>508</v>
      </c>
      <c r="G52" s="251" t="s">
        <v>509</v>
      </c>
      <c r="H52" s="276" t="s">
        <v>510</v>
      </c>
      <c r="I52" s="126" t="s">
        <v>18457</v>
      </c>
    </row>
    <row r="53" spans="1:9" ht="40.5">
      <c r="A53" s="126" t="str">
        <f t="shared" si="0"/>
        <v>InstructionsA56</v>
      </c>
      <c r="B53" s="126" t="s">
        <v>367</v>
      </c>
      <c r="C53" s="126" t="s">
        <v>511</v>
      </c>
      <c r="D53" s="126" t="s">
        <v>512</v>
      </c>
      <c r="E53" s="240" t="s">
        <v>513</v>
      </c>
      <c r="F53" s="241" t="s">
        <v>514</v>
      </c>
      <c r="G53" s="126" t="s">
        <v>515</v>
      </c>
      <c r="H53" s="276" t="s">
        <v>516</v>
      </c>
      <c r="I53" s="126" t="s">
        <v>18458</v>
      </c>
    </row>
    <row r="54" spans="1:9" ht="54">
      <c r="A54" s="126" t="str">
        <f t="shared" si="0"/>
        <v>InstructionsA57</v>
      </c>
      <c r="B54" s="126" t="s">
        <v>367</v>
      </c>
      <c r="C54" s="126" t="s">
        <v>517</v>
      </c>
      <c r="D54" s="126" t="s">
        <v>518</v>
      </c>
      <c r="E54" s="240" t="s">
        <v>519</v>
      </c>
      <c r="F54" s="241" t="s">
        <v>520</v>
      </c>
      <c r="G54" s="252" t="s">
        <v>521</v>
      </c>
      <c r="H54" s="276" t="s">
        <v>522</v>
      </c>
      <c r="I54" s="126" t="s">
        <v>18459</v>
      </c>
    </row>
    <row r="55" spans="1:9" ht="297">
      <c r="A55" s="126" t="str">
        <f t="shared" si="0"/>
        <v>InstructionsA58</v>
      </c>
      <c r="B55" s="126" t="s">
        <v>367</v>
      </c>
      <c r="C55" s="126" t="s">
        <v>523</v>
      </c>
      <c r="D55" s="126" t="s">
        <v>524</v>
      </c>
      <c r="E55" s="240" t="s">
        <v>525</v>
      </c>
      <c r="F55" s="241" t="s">
        <v>526</v>
      </c>
      <c r="G55" s="251" t="s">
        <v>527</v>
      </c>
      <c r="H55" s="276" t="s">
        <v>528</v>
      </c>
      <c r="I55" s="126" t="s">
        <v>18466</v>
      </c>
    </row>
    <row r="56" spans="1:9" ht="81">
      <c r="A56" s="126" t="str">
        <f t="shared" si="0"/>
        <v>InstructionsA59</v>
      </c>
      <c r="B56" s="126" t="s">
        <v>367</v>
      </c>
      <c r="C56" s="126" t="s">
        <v>529</v>
      </c>
      <c r="D56" s="126" t="s">
        <v>530</v>
      </c>
      <c r="E56" s="240" t="s">
        <v>531</v>
      </c>
      <c r="F56" s="241" t="s">
        <v>532</v>
      </c>
      <c r="G56" s="126" t="s">
        <v>533</v>
      </c>
      <c r="H56" s="276" t="s">
        <v>534</v>
      </c>
      <c r="I56" s="126" t="s">
        <v>18460</v>
      </c>
    </row>
    <row r="57" spans="1:9" ht="162">
      <c r="A57" s="126" t="str">
        <f t="shared" si="0"/>
        <v>InstructionsA60</v>
      </c>
      <c r="B57" s="126" t="s">
        <v>367</v>
      </c>
      <c r="C57" s="126" t="s">
        <v>535</v>
      </c>
      <c r="D57" s="126" t="s">
        <v>536</v>
      </c>
      <c r="E57" s="240" t="s">
        <v>537</v>
      </c>
      <c r="F57" s="241" t="s">
        <v>538</v>
      </c>
      <c r="G57" s="251" t="s">
        <v>539</v>
      </c>
      <c r="H57" s="276" t="s">
        <v>540</v>
      </c>
      <c r="I57" s="126" t="s">
        <v>18461</v>
      </c>
    </row>
    <row r="58" spans="1:9" ht="175.5">
      <c r="A58" s="126" t="str">
        <f t="shared" si="0"/>
        <v>InstructionsA61</v>
      </c>
      <c r="B58" s="126" t="s">
        <v>367</v>
      </c>
      <c r="C58" s="126" t="s">
        <v>541</v>
      </c>
      <c r="D58" s="126" t="s">
        <v>542</v>
      </c>
      <c r="E58" s="240" t="s">
        <v>543</v>
      </c>
      <c r="F58" s="241" t="s">
        <v>544</v>
      </c>
      <c r="G58" s="251" t="s">
        <v>545</v>
      </c>
      <c r="H58" s="276" t="s">
        <v>546</v>
      </c>
      <c r="I58" s="126" t="s">
        <v>18462</v>
      </c>
    </row>
    <row r="59" spans="1:9" ht="108">
      <c r="A59" s="126" t="str">
        <f>B59&amp;C59</f>
        <v>InstructionsA62</v>
      </c>
      <c r="B59" s="126" t="s">
        <v>367</v>
      </c>
      <c r="C59" s="126" t="s">
        <v>547</v>
      </c>
      <c r="D59" s="126" t="s">
        <v>548</v>
      </c>
      <c r="E59" s="274" t="s">
        <v>549</v>
      </c>
      <c r="F59" s="271" t="s">
        <v>550</v>
      </c>
      <c r="G59" s="251" t="s">
        <v>551</v>
      </c>
      <c r="H59" s="281" t="s">
        <v>552</v>
      </c>
      <c r="I59" s="126" t="s">
        <v>18463</v>
      </c>
    </row>
    <row r="60" spans="1:9" ht="42">
      <c r="A60" s="126" t="str">
        <f t="shared" si="0"/>
        <v>InstructionsA63</v>
      </c>
      <c r="B60" s="126" t="s">
        <v>367</v>
      </c>
      <c r="C60" s="126" t="s">
        <v>553</v>
      </c>
      <c r="D60" s="126" t="s">
        <v>554</v>
      </c>
      <c r="E60" s="240" t="s">
        <v>555</v>
      </c>
      <c r="F60" s="241" t="s">
        <v>556</v>
      </c>
      <c r="G60" s="126" t="s">
        <v>557</v>
      </c>
      <c r="H60" s="276" t="s">
        <v>558</v>
      </c>
      <c r="I60" s="126" t="s">
        <v>18464</v>
      </c>
    </row>
    <row r="61" spans="1:9" ht="27">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7.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4">
      <c r="A63" s="126" t="str">
        <f t="shared" si="4"/>
        <v>InstructionsA67</v>
      </c>
      <c r="B63" s="126" t="s">
        <v>367</v>
      </c>
      <c r="C63" s="126" t="s">
        <v>565</v>
      </c>
      <c r="D63" s="126" t="s">
        <v>19396</v>
      </c>
      <c r="E63" s="240" t="s">
        <v>19397</v>
      </c>
      <c r="F63" s="241" t="s">
        <v>19398</v>
      </c>
      <c r="G63" s="126" t="s">
        <v>19399</v>
      </c>
      <c r="H63" s="276" t="s">
        <v>19400</v>
      </c>
      <c r="I63" s="126" t="s">
        <v>19401</v>
      </c>
    </row>
    <row r="64" spans="1:9" ht="40.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94.5">
      <c r="A65" s="126" t="str">
        <f t="shared" si="5"/>
        <v>InstructionsA69</v>
      </c>
      <c r="B65" s="126" t="s">
        <v>367</v>
      </c>
      <c r="C65" s="126" t="s">
        <v>577</v>
      </c>
      <c r="D65" s="126" t="s">
        <v>19408</v>
      </c>
      <c r="E65" s="240" t="s">
        <v>19409</v>
      </c>
      <c r="F65" s="241" t="s">
        <v>19410</v>
      </c>
      <c r="G65" s="126" t="s">
        <v>19411</v>
      </c>
      <c r="H65" s="276" t="s">
        <v>19412</v>
      </c>
      <c r="I65" s="126" t="s">
        <v>19413</v>
      </c>
    </row>
    <row r="66" spans="1:9" ht="40.5">
      <c r="A66" s="126" t="str">
        <f t="shared" si="5"/>
        <v>InstructionsA70</v>
      </c>
      <c r="B66" s="126" t="s">
        <v>367</v>
      </c>
      <c r="C66" s="126" t="s">
        <v>583</v>
      </c>
      <c r="D66" s="126" t="s">
        <v>19414</v>
      </c>
      <c r="E66" s="240" t="s">
        <v>19415</v>
      </c>
      <c r="F66" s="241" t="s">
        <v>19416</v>
      </c>
      <c r="G66" s="126" t="s">
        <v>19417</v>
      </c>
      <c r="H66" s="276" t="s">
        <v>19418</v>
      </c>
      <c r="I66" s="126" t="s">
        <v>19419</v>
      </c>
    </row>
    <row r="67" spans="1:9" ht="28">
      <c r="A67" s="126" t="str">
        <f t="shared" si="5"/>
        <v>InstructionsA71</v>
      </c>
      <c r="B67" s="126" t="s">
        <v>367</v>
      </c>
      <c r="C67" s="126" t="s">
        <v>589</v>
      </c>
      <c r="D67" s="126" t="s">
        <v>19420</v>
      </c>
      <c r="E67" s="240" t="s">
        <v>19421</v>
      </c>
      <c r="F67" s="241" t="s">
        <v>19422</v>
      </c>
      <c r="G67" s="126" t="s">
        <v>19423</v>
      </c>
      <c r="H67" s="276" t="s">
        <v>19424</v>
      </c>
      <c r="I67" s="126" t="s">
        <v>19425</v>
      </c>
    </row>
    <row r="68" spans="1:9" ht="40.5">
      <c r="A68" s="126" t="str">
        <f t="shared" si="5"/>
        <v>InstructionsA72</v>
      </c>
      <c r="B68" s="126" t="s">
        <v>367</v>
      </c>
      <c r="C68" s="126" t="s">
        <v>595</v>
      </c>
      <c r="D68" s="126" t="s">
        <v>19426</v>
      </c>
      <c r="E68" s="240" t="s">
        <v>19427</v>
      </c>
      <c r="F68" s="241" t="s">
        <v>19428</v>
      </c>
      <c r="G68" s="126" t="s">
        <v>19429</v>
      </c>
      <c r="H68" s="276" t="s">
        <v>19430</v>
      </c>
      <c r="I68" s="126" t="s">
        <v>19431</v>
      </c>
    </row>
    <row r="69" spans="1:9" ht="40.5">
      <c r="A69" s="126" t="str">
        <f t="shared" si="5"/>
        <v>InstructionsA73</v>
      </c>
      <c r="B69" s="126" t="s">
        <v>367</v>
      </c>
      <c r="C69" s="126" t="s">
        <v>601</v>
      </c>
      <c r="D69" s="126" t="s">
        <v>19432</v>
      </c>
      <c r="E69" s="240" t="s">
        <v>19433</v>
      </c>
      <c r="F69" s="241" t="s">
        <v>19434</v>
      </c>
      <c r="G69" s="126" t="s">
        <v>19435</v>
      </c>
      <c r="H69" s="276" t="s">
        <v>19436</v>
      </c>
      <c r="I69" s="126" t="s">
        <v>19437</v>
      </c>
    </row>
    <row r="70" spans="1:9" ht="54">
      <c r="A70" s="126" t="str">
        <f t="shared" si="5"/>
        <v>InstructionsA74</v>
      </c>
      <c r="B70" s="126" t="s">
        <v>367</v>
      </c>
      <c r="C70" s="126" t="s">
        <v>19469</v>
      </c>
      <c r="D70" s="126" t="s">
        <v>19438</v>
      </c>
      <c r="E70" s="240" t="s">
        <v>19439</v>
      </c>
      <c r="F70" s="241" t="s">
        <v>19440</v>
      </c>
      <c r="G70" s="126" t="s">
        <v>19441</v>
      </c>
      <c r="H70" s="276" t="s">
        <v>19442</v>
      </c>
      <c r="I70" s="126" t="s">
        <v>19443</v>
      </c>
    </row>
    <row r="71" spans="1:9" ht="202.5">
      <c r="A71" s="126" t="str">
        <f t="shared" si="5"/>
        <v>InstructionsA75</v>
      </c>
      <c r="B71" s="126" t="s">
        <v>367</v>
      </c>
      <c r="C71" s="126" t="s">
        <v>19470</v>
      </c>
      <c r="D71" s="126" t="s">
        <v>19444</v>
      </c>
      <c r="E71" s="240" t="s">
        <v>19445</v>
      </c>
      <c r="F71" s="241" t="s">
        <v>19446</v>
      </c>
      <c r="G71" s="126" t="s">
        <v>19447</v>
      </c>
      <c r="H71" s="276" t="s">
        <v>19448</v>
      </c>
      <c r="I71" s="126" t="s">
        <v>19449</v>
      </c>
    </row>
    <row r="72" spans="1:9" ht="81">
      <c r="A72" s="126" t="str">
        <f t="shared" si="5"/>
        <v>InstructionsA76</v>
      </c>
      <c r="B72" s="126" t="s">
        <v>367</v>
      </c>
      <c r="C72" s="126" t="s">
        <v>19471</v>
      </c>
      <c r="D72" s="126" t="s">
        <v>19450</v>
      </c>
      <c r="E72" s="240" t="s">
        <v>19451</v>
      </c>
      <c r="F72" s="241" t="s">
        <v>19452</v>
      </c>
      <c r="G72" s="126" t="s">
        <v>19453</v>
      </c>
      <c r="H72" s="276" t="s">
        <v>19454</v>
      </c>
      <c r="I72" s="126" t="s">
        <v>19455</v>
      </c>
    </row>
    <row r="73" spans="1:9" ht="121.5">
      <c r="A73" s="126" t="str">
        <f t="shared" si="5"/>
        <v>InstructionsA77</v>
      </c>
      <c r="B73" s="126" t="s">
        <v>367</v>
      </c>
      <c r="C73" s="126" t="s">
        <v>19472</v>
      </c>
      <c r="D73" s="126" t="s">
        <v>19456</v>
      </c>
      <c r="E73" s="240" t="s">
        <v>19457</v>
      </c>
      <c r="F73" s="241" t="s">
        <v>19458</v>
      </c>
      <c r="G73" s="126" t="s">
        <v>19459</v>
      </c>
      <c r="H73" s="276" t="s">
        <v>19460</v>
      </c>
      <c r="I73" s="126" t="s">
        <v>19461</v>
      </c>
    </row>
    <row r="74" spans="1:9" ht="40.5">
      <c r="A74" s="126" t="str">
        <f t="shared" si="5"/>
        <v>InstructionsA78</v>
      </c>
      <c r="B74" s="126" t="s">
        <v>367</v>
      </c>
      <c r="C74" s="126" t="s">
        <v>19473</v>
      </c>
      <c r="D74" s="126" t="s">
        <v>19462</v>
      </c>
      <c r="E74" s="240" t="s">
        <v>19463</v>
      </c>
      <c r="F74" s="241" t="s">
        <v>19464</v>
      </c>
      <c r="G74" s="126" t="s">
        <v>19465</v>
      </c>
      <c r="H74" s="276" t="s">
        <v>19466</v>
      </c>
      <c r="I74" s="126" t="s">
        <v>19467</v>
      </c>
    </row>
    <row r="75" spans="1:9" ht="175.5">
      <c r="A75" s="126" t="str">
        <f>B75&amp;C75</f>
        <v>InstructionsA80</v>
      </c>
      <c r="B75" s="126" t="s">
        <v>367</v>
      </c>
      <c r="C75" s="126" t="s">
        <v>19474</v>
      </c>
      <c r="D75" s="126" t="s">
        <v>560</v>
      </c>
      <c r="E75" s="240" t="s">
        <v>561</v>
      </c>
      <c r="F75" s="241" t="s">
        <v>562</v>
      </c>
      <c r="G75" s="126" t="s">
        <v>563</v>
      </c>
      <c r="H75" s="279" t="s">
        <v>564</v>
      </c>
      <c r="I75" s="126" t="s">
        <v>18465</v>
      </c>
    </row>
    <row r="76" spans="1:9" ht="28">
      <c r="A76" s="126" t="str">
        <f t="shared" si="0"/>
        <v>InstructionsA82</v>
      </c>
      <c r="B76" s="126" t="s">
        <v>367</v>
      </c>
      <c r="C76" s="126" t="s">
        <v>19475</v>
      </c>
      <c r="D76" s="126" t="s">
        <v>566</v>
      </c>
      <c r="E76" s="240" t="s">
        <v>567</v>
      </c>
      <c r="F76" s="241" t="s">
        <v>568</v>
      </c>
      <c r="G76" s="126" t="s">
        <v>569</v>
      </c>
      <c r="H76" s="279" t="s">
        <v>570</v>
      </c>
      <c r="I76" s="126" t="s">
        <v>18467</v>
      </c>
    </row>
    <row r="77" spans="1:9" ht="270">
      <c r="A77" s="126" t="str">
        <f t="shared" si="0"/>
        <v>InstructionsA83</v>
      </c>
      <c r="B77" s="126" t="s">
        <v>367</v>
      </c>
      <c r="C77" s="126" t="s">
        <v>19476</v>
      </c>
      <c r="D77" s="126" t="s">
        <v>572</v>
      </c>
      <c r="E77" s="240" t="s">
        <v>573</v>
      </c>
      <c r="F77" s="241" t="s">
        <v>574</v>
      </c>
      <c r="G77" s="251" t="s">
        <v>575</v>
      </c>
      <c r="H77" s="276" t="s">
        <v>576</v>
      </c>
      <c r="I77" s="126" t="s">
        <v>18473</v>
      </c>
    </row>
    <row r="78" spans="1:9" ht="148.5">
      <c r="A78" s="126" t="str">
        <f t="shared" si="0"/>
        <v>InstructionsA84</v>
      </c>
      <c r="B78" s="126" t="s">
        <v>367</v>
      </c>
      <c r="C78" s="126" t="s">
        <v>19477</v>
      </c>
      <c r="D78" s="126" t="s">
        <v>578</v>
      </c>
      <c r="E78" s="240" t="s">
        <v>579</v>
      </c>
      <c r="F78" s="241" t="s">
        <v>580</v>
      </c>
      <c r="G78" s="251" t="s">
        <v>581</v>
      </c>
      <c r="H78" s="276" t="s">
        <v>582</v>
      </c>
      <c r="I78" s="126" t="s">
        <v>18468</v>
      </c>
    </row>
    <row r="79" spans="1:9" ht="135">
      <c r="A79" s="126" t="str">
        <f t="shared" si="0"/>
        <v>InstructionsA85</v>
      </c>
      <c r="B79" s="126" t="s">
        <v>367</v>
      </c>
      <c r="C79" s="126" t="s">
        <v>19478</v>
      </c>
      <c r="D79" s="126" t="s">
        <v>584</v>
      </c>
      <c r="E79" s="240" t="s">
        <v>585</v>
      </c>
      <c r="F79" s="241" t="s">
        <v>586</v>
      </c>
      <c r="G79" s="251" t="s">
        <v>587</v>
      </c>
      <c r="H79" s="276" t="s">
        <v>588</v>
      </c>
      <c r="I79" s="126" t="s">
        <v>18469</v>
      </c>
    </row>
    <row r="80" spans="1:9" ht="283.5">
      <c r="A80" s="126" t="str">
        <f t="shared" si="0"/>
        <v>InstructionsA86</v>
      </c>
      <c r="B80" s="126" t="s">
        <v>367</v>
      </c>
      <c r="C80" s="126" t="s">
        <v>19479</v>
      </c>
      <c r="D80" s="126" t="s">
        <v>590</v>
      </c>
      <c r="E80" s="240" t="s">
        <v>591</v>
      </c>
      <c r="F80" s="241" t="s">
        <v>592</v>
      </c>
      <c r="G80" s="251" t="s">
        <v>593</v>
      </c>
      <c r="H80" s="276" t="s">
        <v>594</v>
      </c>
      <c r="I80" s="126" t="s">
        <v>18470</v>
      </c>
    </row>
    <row r="81" spans="1:9" ht="94.5">
      <c r="A81" s="126" t="str">
        <f t="shared" si="0"/>
        <v>InstructionsA87</v>
      </c>
      <c r="B81" s="126" t="s">
        <v>367</v>
      </c>
      <c r="C81" s="126" t="s">
        <v>19480</v>
      </c>
      <c r="D81" s="126" t="s">
        <v>596</v>
      </c>
      <c r="E81" s="240" t="s">
        <v>597</v>
      </c>
      <c r="F81" s="241" t="s">
        <v>598</v>
      </c>
      <c r="G81" s="251" t="s">
        <v>599</v>
      </c>
      <c r="H81" s="276" t="s">
        <v>600</v>
      </c>
      <c r="I81" s="126" t="s">
        <v>18471</v>
      </c>
    </row>
    <row r="82" spans="1:9" ht="40.5">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5">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5">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5">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5">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5">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5">
      <c r="A96" s="126" t="str">
        <f t="shared" si="7"/>
        <v>DefinitionsB15</v>
      </c>
      <c r="B96" s="126" t="s">
        <v>607</v>
      </c>
      <c r="C96" s="126" t="s">
        <v>682</v>
      </c>
      <c r="D96" s="246" t="s">
        <v>660</v>
      </c>
      <c r="E96" s="246" t="s">
        <v>661</v>
      </c>
      <c r="F96" s="254" t="s">
        <v>662</v>
      </c>
      <c r="G96" s="255" t="s">
        <v>663</v>
      </c>
      <c r="H96" s="276" t="s">
        <v>664</v>
      </c>
      <c r="I96" s="188" t="s">
        <v>18487</v>
      </c>
    </row>
    <row r="97" spans="1:9" ht="13.5">
      <c r="A97" s="126" t="str">
        <f t="shared" si="7"/>
        <v>DefinitionsB16</v>
      </c>
      <c r="B97" s="126" t="s">
        <v>607</v>
      </c>
      <c r="C97" s="126" t="s">
        <v>688</v>
      </c>
      <c r="D97" s="246" t="s">
        <v>666</v>
      </c>
      <c r="E97" s="246" t="s">
        <v>667</v>
      </c>
      <c r="F97" s="254" t="s">
        <v>668</v>
      </c>
      <c r="G97" s="256" t="s">
        <v>669</v>
      </c>
      <c r="H97" s="276" t="s">
        <v>18485</v>
      </c>
      <c r="I97" s="188" t="s">
        <v>18488</v>
      </c>
    </row>
    <row r="98" spans="1:9" ht="13.5">
      <c r="A98" s="126" t="str">
        <f t="shared" si="7"/>
        <v>DefinitionsB17</v>
      </c>
      <c r="B98" s="126" t="s">
        <v>607</v>
      </c>
      <c r="C98" s="126" t="s">
        <v>691</v>
      </c>
      <c r="D98" s="246" t="s">
        <v>19856</v>
      </c>
      <c r="E98" s="246" t="s">
        <v>19857</v>
      </c>
      <c r="F98" s="254" t="s">
        <v>19868</v>
      </c>
      <c r="G98" s="256" t="s">
        <v>19858</v>
      </c>
      <c r="H98" s="280" t="s">
        <v>19869</v>
      </c>
      <c r="I98" s="246" t="s">
        <v>19859</v>
      </c>
    </row>
    <row r="99" spans="1:9" ht="13.5">
      <c r="A99" s="126" t="str">
        <f t="shared" si="7"/>
        <v>DefinitionsB18</v>
      </c>
      <c r="B99" s="126" t="s">
        <v>607</v>
      </c>
      <c r="C99" s="126" t="s">
        <v>697</v>
      </c>
      <c r="D99" s="246" t="s">
        <v>19309</v>
      </c>
      <c r="E99" s="246" t="s">
        <v>19554</v>
      </c>
      <c r="F99" s="246" t="s">
        <v>19965</v>
      </c>
      <c r="G99" s="246" t="s">
        <v>19555</v>
      </c>
      <c r="H99" s="246" t="s">
        <v>19556</v>
      </c>
      <c r="I99" s="246" t="s">
        <v>19557</v>
      </c>
    </row>
    <row r="100" spans="1:9" ht="13.5">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0.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1">
      <c r="A111" s="126" t="str">
        <f t="shared" si="7"/>
        <v>DefinitionsC3</v>
      </c>
      <c r="B111" s="126" t="s">
        <v>607</v>
      </c>
      <c r="C111" s="126" t="s">
        <v>727</v>
      </c>
      <c r="D111" s="126" t="s">
        <v>728</v>
      </c>
      <c r="E111" s="240" t="s">
        <v>729</v>
      </c>
      <c r="F111" s="241" t="s">
        <v>730</v>
      </c>
      <c r="G111" s="126" t="s">
        <v>731</v>
      </c>
      <c r="H111" s="276" t="s">
        <v>732</v>
      </c>
      <c r="I111" s="126" t="s">
        <v>18494</v>
      </c>
    </row>
    <row r="112" spans="1:9" ht="54">
      <c r="A112" s="126" t="str">
        <f t="shared" si="7"/>
        <v>DefinitionsC4</v>
      </c>
      <c r="B112" s="126" t="s">
        <v>607</v>
      </c>
      <c r="C112" s="126" t="s">
        <v>733</v>
      </c>
      <c r="D112" s="126" t="s">
        <v>734</v>
      </c>
      <c r="E112" s="244" t="s">
        <v>735</v>
      </c>
      <c r="F112" s="241" t="s">
        <v>736</v>
      </c>
      <c r="G112" s="248" t="s">
        <v>737</v>
      </c>
      <c r="H112" s="276" t="s">
        <v>738</v>
      </c>
      <c r="I112" s="289" t="s">
        <v>18490</v>
      </c>
    </row>
    <row r="113" spans="1:9" ht="175.5">
      <c r="A113" s="126" t="str">
        <f t="shared" si="7"/>
        <v>DefinitionsC5</v>
      </c>
      <c r="B113" s="126" t="s">
        <v>607</v>
      </c>
      <c r="C113" s="126" t="s">
        <v>739</v>
      </c>
      <c r="D113" s="126" t="s">
        <v>740</v>
      </c>
      <c r="E113" s="240" t="s">
        <v>741</v>
      </c>
      <c r="F113" s="241" t="s">
        <v>742</v>
      </c>
      <c r="G113" s="126" t="s">
        <v>743</v>
      </c>
      <c r="H113" s="276" t="s">
        <v>744</v>
      </c>
      <c r="I113" s="126" t="s">
        <v>18495</v>
      </c>
    </row>
    <row r="114" spans="1:9" ht="108">
      <c r="A114" s="126" t="str">
        <f t="shared" si="7"/>
        <v>DefinitionsC6</v>
      </c>
      <c r="B114" s="126" t="s">
        <v>607</v>
      </c>
      <c r="C114" s="126" t="s">
        <v>745</v>
      </c>
      <c r="D114" s="126" t="s">
        <v>19314</v>
      </c>
      <c r="E114" s="240" t="s">
        <v>19344</v>
      </c>
      <c r="F114" s="241" t="s">
        <v>19899</v>
      </c>
      <c r="G114" s="126" t="s">
        <v>19345</v>
      </c>
      <c r="H114" s="276" t="s">
        <v>19346</v>
      </c>
      <c r="I114" s="126" t="s">
        <v>19347</v>
      </c>
    </row>
    <row r="115" spans="1:9" ht="148.5">
      <c r="A115" s="126" t="str">
        <f t="shared" si="7"/>
        <v>DefinitionsC7</v>
      </c>
      <c r="B115" s="126" t="s">
        <v>607</v>
      </c>
      <c r="C115" s="126" t="s">
        <v>751</v>
      </c>
      <c r="D115" s="126" t="s">
        <v>746</v>
      </c>
      <c r="E115" s="240" t="s">
        <v>747</v>
      </c>
      <c r="F115" s="241" t="s">
        <v>748</v>
      </c>
      <c r="G115" s="126" t="s">
        <v>749</v>
      </c>
      <c r="H115" s="276" t="s">
        <v>750</v>
      </c>
      <c r="I115" s="126" t="s">
        <v>18496</v>
      </c>
    </row>
    <row r="116" spans="1:9" ht="124.5">
      <c r="A116" s="126" t="str">
        <f t="shared" si="7"/>
        <v>DefinitionsC8</v>
      </c>
      <c r="B116" s="126" t="s">
        <v>607</v>
      </c>
      <c r="C116" s="126" t="s">
        <v>757</v>
      </c>
      <c r="D116" s="126" t="s">
        <v>752</v>
      </c>
      <c r="E116" s="240" t="s">
        <v>753</v>
      </c>
      <c r="F116" s="241" t="s">
        <v>754</v>
      </c>
      <c r="G116" s="126" t="s">
        <v>755</v>
      </c>
      <c r="H116" s="276" t="s">
        <v>756</v>
      </c>
      <c r="I116" s="126" t="s">
        <v>18499</v>
      </c>
    </row>
    <row r="117" spans="1:9" ht="108">
      <c r="A117" s="126" t="str">
        <f t="shared" si="7"/>
        <v>DefinitionsC9</v>
      </c>
      <c r="B117" s="126" t="s">
        <v>607</v>
      </c>
      <c r="C117" s="126" t="s">
        <v>763</v>
      </c>
      <c r="D117" s="347" t="s">
        <v>19317</v>
      </c>
      <c r="E117" s="244" t="s">
        <v>19356</v>
      </c>
      <c r="F117" s="375" t="s">
        <v>19357</v>
      </c>
      <c r="G117" s="376" t="s">
        <v>19358</v>
      </c>
      <c r="H117" s="276" t="s">
        <v>19359</v>
      </c>
      <c r="I117" s="126" t="s">
        <v>19360</v>
      </c>
    </row>
    <row r="118" spans="1:9" ht="94.5">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21.5">
      <c r="A119" s="126" t="str">
        <f t="shared" si="7"/>
        <v>DefinitionsC11</v>
      </c>
      <c r="B119" s="126" t="s">
        <v>607</v>
      </c>
      <c r="C119" s="126" t="s">
        <v>770</v>
      </c>
      <c r="D119" s="126" t="s">
        <v>758</v>
      </c>
      <c r="E119" s="240" t="s">
        <v>759</v>
      </c>
      <c r="F119" s="241" t="s">
        <v>760</v>
      </c>
      <c r="G119" s="126" t="s">
        <v>761</v>
      </c>
      <c r="H119" s="276" t="s">
        <v>762</v>
      </c>
      <c r="I119" s="126" t="s">
        <v>18498</v>
      </c>
    </row>
    <row r="120" spans="1:9" ht="54">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02.5">
      <c r="A122" s="126" t="str">
        <f t="shared" si="7"/>
        <v>DefinitionsC14</v>
      </c>
      <c r="B122" s="126" t="s">
        <v>607</v>
      </c>
      <c r="C122" s="126" t="s">
        <v>783</v>
      </c>
      <c r="D122" s="126" t="s">
        <v>765</v>
      </c>
      <c r="E122" s="240" t="s">
        <v>766</v>
      </c>
      <c r="F122" s="241" t="s">
        <v>767</v>
      </c>
      <c r="G122" s="126" t="s">
        <v>768</v>
      </c>
      <c r="H122" s="276" t="s">
        <v>769</v>
      </c>
      <c r="I122" s="126" t="s">
        <v>18500</v>
      </c>
    </row>
    <row r="123" spans="1:9" ht="41.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08">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2">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7.5">
      <c r="A128" s="126" t="str">
        <f t="shared" si="7"/>
        <v>DefinitionsC20</v>
      </c>
      <c r="B128" s="126" t="s">
        <v>607</v>
      </c>
      <c r="C128" s="126" t="s">
        <v>809</v>
      </c>
      <c r="D128" s="126" t="s">
        <v>784</v>
      </c>
      <c r="E128" s="240" t="s">
        <v>785</v>
      </c>
      <c r="F128" s="241" t="s">
        <v>786</v>
      </c>
      <c r="G128" s="126" t="s">
        <v>787</v>
      </c>
      <c r="H128" s="276" t="s">
        <v>788</v>
      </c>
      <c r="I128" s="126" t="s">
        <v>18501</v>
      </c>
    </row>
    <row r="129" spans="1:9" ht="20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7.5">
      <c r="A130" s="126" t="str">
        <f t="shared" si="7"/>
        <v>DefinitionsC22</v>
      </c>
      <c r="B130" s="126" t="s">
        <v>607</v>
      </c>
      <c r="C130" s="126" t="s">
        <v>19310</v>
      </c>
      <c r="D130" s="126" t="s">
        <v>791</v>
      </c>
      <c r="E130" s="240" t="s">
        <v>792</v>
      </c>
      <c r="F130" s="241" t="s">
        <v>793</v>
      </c>
      <c r="G130" s="126" t="s">
        <v>794</v>
      </c>
      <c r="H130" s="276" t="s">
        <v>795</v>
      </c>
      <c r="I130" s="126" t="s">
        <v>18502</v>
      </c>
    </row>
    <row r="131" spans="1:9" ht="94.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56.5">
      <c r="A132" s="126" t="str">
        <f t="shared" si="7"/>
        <v>DefinitionsC24</v>
      </c>
      <c r="B132" s="126" t="s">
        <v>607</v>
      </c>
      <c r="C132" s="126" t="s">
        <v>19312</v>
      </c>
      <c r="D132" s="126" t="s">
        <v>798</v>
      </c>
      <c r="E132" s="240" t="s">
        <v>799</v>
      </c>
      <c r="F132" s="241" t="s">
        <v>800</v>
      </c>
      <c r="G132" s="126" t="s">
        <v>801</v>
      </c>
      <c r="H132" s="276" t="s">
        <v>802</v>
      </c>
      <c r="I132" s="126" t="s">
        <v>18504</v>
      </c>
    </row>
    <row r="133" spans="1:9" ht="229.5">
      <c r="A133" s="126" t="str">
        <f t="shared" si="7"/>
        <v>DefinitionsC25</v>
      </c>
      <c r="B133" s="126" t="s">
        <v>607</v>
      </c>
      <c r="C133" s="126" t="s">
        <v>19313</v>
      </c>
      <c r="D133" s="126" t="s">
        <v>804</v>
      </c>
      <c r="E133" s="240" t="s">
        <v>805</v>
      </c>
      <c r="F133" s="241" t="s">
        <v>806</v>
      </c>
      <c r="G133" s="248" t="s">
        <v>807</v>
      </c>
      <c r="H133" s="276" t="s">
        <v>808</v>
      </c>
      <c r="I133" s="126" t="s">
        <v>18505</v>
      </c>
    </row>
    <row r="134" spans="1:9" ht="121.5">
      <c r="A134" s="126" t="str">
        <f t="shared" si="7"/>
        <v>DefinitionsC26</v>
      </c>
      <c r="B134" s="126" t="s">
        <v>607</v>
      </c>
      <c r="C134" s="126" t="s">
        <v>19373</v>
      </c>
      <c r="D134" s="246" t="s">
        <v>810</v>
      </c>
      <c r="E134" s="247" t="s">
        <v>811</v>
      </c>
      <c r="F134" s="254" t="s">
        <v>812</v>
      </c>
      <c r="G134" s="255" t="s">
        <v>813</v>
      </c>
      <c r="H134" s="276" t="s">
        <v>814</v>
      </c>
      <c r="I134" s="126" t="s">
        <v>18506</v>
      </c>
    </row>
    <row r="135" spans="1:9" ht="81">
      <c r="A135" s="126" t="str">
        <f t="shared" si="7"/>
        <v>DefinitionsC27</v>
      </c>
      <c r="B135" s="126" t="s">
        <v>607</v>
      </c>
      <c r="C135" s="126" t="s">
        <v>19870</v>
      </c>
      <c r="D135" s="126" t="s">
        <v>816</v>
      </c>
      <c r="E135" s="240" t="s">
        <v>817</v>
      </c>
      <c r="F135" s="241" t="s">
        <v>818</v>
      </c>
      <c r="G135" s="126" t="s">
        <v>819</v>
      </c>
      <c r="H135" s="276" t="s">
        <v>820</v>
      </c>
      <c r="I135" s="126" t="s">
        <v>18507</v>
      </c>
    </row>
    <row r="136" spans="1:9" ht="27">
      <c r="A136" s="126" t="str">
        <f t="shared" si="7"/>
        <v>DeclarationD2</v>
      </c>
      <c r="B136" s="126" t="s">
        <v>821</v>
      </c>
      <c r="C136" s="126" t="s">
        <v>822</v>
      </c>
      <c r="D136" s="246" t="s">
        <v>823</v>
      </c>
      <c r="E136" s="246" t="s">
        <v>824</v>
      </c>
      <c r="F136" s="253" t="s">
        <v>825</v>
      </c>
      <c r="G136" s="258" t="s">
        <v>826</v>
      </c>
      <c r="H136" s="276" t="s">
        <v>827</v>
      </c>
      <c r="I136" s="188" t="s">
        <v>18509</v>
      </c>
    </row>
    <row r="137" spans="1:9" ht="27">
      <c r="A137" s="126" t="str">
        <f t="shared" si="7"/>
        <v>DeclarationF3</v>
      </c>
      <c r="B137" s="126" t="s">
        <v>821</v>
      </c>
      <c r="C137" s="126" t="s">
        <v>828</v>
      </c>
      <c r="D137" s="126" t="s">
        <v>829</v>
      </c>
      <c r="E137" s="240" t="s">
        <v>830</v>
      </c>
      <c r="F137" s="241" t="s">
        <v>831</v>
      </c>
      <c r="G137" s="126" t="s">
        <v>832</v>
      </c>
      <c r="H137" s="276" t="s">
        <v>833</v>
      </c>
      <c r="I137" s="126" t="s">
        <v>18510</v>
      </c>
    </row>
    <row r="138" spans="1:9">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0.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5">
      <c r="A143" s="126" t="str">
        <f t="shared" si="7"/>
        <v>DeclarationB8</v>
      </c>
      <c r="B143" s="126" t="s">
        <v>821</v>
      </c>
      <c r="C143" s="126" t="s">
        <v>643</v>
      </c>
      <c r="D143" s="126" t="s">
        <v>859</v>
      </c>
      <c r="E143" s="240" t="s">
        <v>860</v>
      </c>
      <c r="F143" s="241" t="s">
        <v>861</v>
      </c>
      <c r="G143" s="126" t="s">
        <v>862</v>
      </c>
      <c r="H143" s="276" t="s">
        <v>863</v>
      </c>
      <c r="I143" s="126" t="s">
        <v>18515</v>
      </c>
    </row>
    <row r="144" spans="1:9" ht="15.5">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c r="A146" s="126" t="str">
        <f t="shared" si="7"/>
        <v>DeclarationB10A</v>
      </c>
      <c r="B146" s="126" t="s">
        <v>821</v>
      </c>
      <c r="C146" s="126" t="s">
        <v>874</v>
      </c>
      <c r="D146" s="126" t="s">
        <v>869</v>
      </c>
      <c r="E146" s="240" t="s">
        <v>870</v>
      </c>
      <c r="F146" s="241" t="s">
        <v>875</v>
      </c>
      <c r="G146" s="126" t="s">
        <v>872</v>
      </c>
      <c r="H146" s="276" t="s">
        <v>873</v>
      </c>
      <c r="I146" s="126" t="s">
        <v>18517</v>
      </c>
    </row>
    <row r="147" spans="1:9">
      <c r="A147" s="126" t="str">
        <f t="shared" si="7"/>
        <v>DeclarationB10C</v>
      </c>
      <c r="B147" s="126" t="s">
        <v>821</v>
      </c>
      <c r="C147" s="126" t="s">
        <v>876</v>
      </c>
      <c r="D147" s="126" t="s">
        <v>877</v>
      </c>
      <c r="E147" s="240" t="s">
        <v>878</v>
      </c>
      <c r="F147" s="241" t="s">
        <v>879</v>
      </c>
      <c r="G147" s="126" t="s">
        <v>880</v>
      </c>
      <c r="H147" s="276" t="s">
        <v>881</v>
      </c>
      <c r="I147" s="126" t="s">
        <v>18518</v>
      </c>
    </row>
    <row r="148" spans="1:9" ht="27">
      <c r="A148" s="126" t="str">
        <f t="shared" si="7"/>
        <v>DeclarationB10B</v>
      </c>
      <c r="B148" s="126" t="s">
        <v>821</v>
      </c>
      <c r="C148" s="126" t="s">
        <v>882</v>
      </c>
      <c r="D148" s="126" t="s">
        <v>883</v>
      </c>
      <c r="E148" s="240" t="s">
        <v>884</v>
      </c>
      <c r="F148" s="241" t="s">
        <v>885</v>
      </c>
      <c r="G148" s="126" t="s">
        <v>886</v>
      </c>
      <c r="H148" s="276" t="s">
        <v>887</v>
      </c>
      <c r="I148" s="126" t="s">
        <v>18519</v>
      </c>
    </row>
    <row r="149" spans="1:9" ht="27">
      <c r="A149" s="126" t="str">
        <f t="shared" si="7"/>
        <v>DeclarationD11</v>
      </c>
      <c r="B149" s="126" t="s">
        <v>821</v>
      </c>
      <c r="C149" s="126" t="s">
        <v>888</v>
      </c>
      <c r="D149" s="126" t="s">
        <v>889</v>
      </c>
      <c r="E149" s="240" t="s">
        <v>890</v>
      </c>
      <c r="F149" s="241" t="s">
        <v>891</v>
      </c>
      <c r="G149" s="126" t="s">
        <v>892</v>
      </c>
      <c r="H149" s="276" t="s">
        <v>893</v>
      </c>
      <c r="I149" s="126" t="s">
        <v>18520</v>
      </c>
    </row>
    <row r="150" spans="1:9" ht="40.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
      <c r="A163" s="126" t="str">
        <f t="shared" si="10"/>
        <v>DeclarationB28</v>
      </c>
      <c r="B163" s="126" t="s">
        <v>821</v>
      </c>
      <c r="C163" s="126" t="s">
        <v>18610</v>
      </c>
      <c r="D163" s="126" t="s">
        <v>949</v>
      </c>
      <c r="E163" s="240" t="s">
        <v>950</v>
      </c>
      <c r="F163" s="241" t="s">
        <v>951</v>
      </c>
      <c r="G163" s="126" t="s">
        <v>952</v>
      </c>
      <c r="H163" s="276" t="s">
        <v>953</v>
      </c>
      <c r="I163" s="126" t="s">
        <v>18532</v>
      </c>
    </row>
    <row r="164" spans="1:9" ht="51">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7.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
      <c r="A168" s="126" t="str">
        <f t="shared" si="10"/>
        <v>DeclarationB77</v>
      </c>
      <c r="B168" s="126" t="s">
        <v>821</v>
      </c>
      <c r="C168" s="126" t="s">
        <v>18619</v>
      </c>
      <c r="D168" s="126" t="s">
        <v>954</v>
      </c>
      <c r="E168" s="240" t="s">
        <v>955</v>
      </c>
      <c r="F168" s="271" t="s">
        <v>956</v>
      </c>
      <c r="G168" s="126" t="s">
        <v>957</v>
      </c>
      <c r="H168" s="276" t="s">
        <v>958</v>
      </c>
      <c r="I168" s="126" t="s">
        <v>18593</v>
      </c>
    </row>
    <row r="169" spans="1:9" ht="40.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4">
      <c r="A170" s="126" t="str">
        <f t="shared" si="10"/>
        <v>DeclarationB101</v>
      </c>
      <c r="B170" s="126" t="s">
        <v>821</v>
      </c>
      <c r="C170" s="126" t="s">
        <v>18621</v>
      </c>
      <c r="D170" s="126" t="s">
        <v>959</v>
      </c>
      <c r="E170" s="244" t="s">
        <v>960</v>
      </c>
      <c r="F170" s="241" t="s">
        <v>961</v>
      </c>
      <c r="G170" s="126" t="s">
        <v>962</v>
      </c>
      <c r="H170" s="276" t="s">
        <v>963</v>
      </c>
      <c r="I170" s="126" t="s">
        <v>18594</v>
      </c>
    </row>
    <row r="171" spans="1:9">
      <c r="A171" s="126" t="str">
        <f t="shared" si="10"/>
        <v>DeclarationB113</v>
      </c>
      <c r="B171" s="126" t="s">
        <v>821</v>
      </c>
      <c r="C171" s="126" t="s">
        <v>18622</v>
      </c>
      <c r="D171" s="126" t="s">
        <v>964</v>
      </c>
      <c r="E171" s="240" t="s">
        <v>965</v>
      </c>
      <c r="F171" s="241" t="s">
        <v>966</v>
      </c>
      <c r="G171" s="126" t="s">
        <v>967</v>
      </c>
      <c r="H171" s="276" t="s">
        <v>968</v>
      </c>
      <c r="I171" s="126" t="s">
        <v>18541</v>
      </c>
    </row>
    <row r="172" spans="1:9" ht="27">
      <c r="A172" s="126" t="str">
        <f t="shared" si="10"/>
        <v>DeclarationB115</v>
      </c>
      <c r="B172" s="126" t="s">
        <v>821</v>
      </c>
      <c r="C172" s="126" t="s">
        <v>18623</v>
      </c>
      <c r="D172" s="126" t="s">
        <v>969</v>
      </c>
      <c r="E172" s="240" t="s">
        <v>12187</v>
      </c>
      <c r="F172" s="271" t="s">
        <v>970</v>
      </c>
      <c r="G172" s="126" t="s">
        <v>971</v>
      </c>
      <c r="H172" s="276" t="s">
        <v>972</v>
      </c>
      <c r="I172" s="126" t="s">
        <v>18536</v>
      </c>
    </row>
    <row r="173" spans="1:9" ht="54">
      <c r="A173" s="126" t="str">
        <f t="shared" si="10"/>
        <v>DeclarationB117</v>
      </c>
      <c r="B173" s="126" t="s">
        <v>821</v>
      </c>
      <c r="C173" s="126" t="s">
        <v>18624</v>
      </c>
      <c r="D173" s="126" t="s">
        <v>973</v>
      </c>
      <c r="E173" s="240" t="s">
        <v>12188</v>
      </c>
      <c r="F173" s="241" t="s">
        <v>974</v>
      </c>
      <c r="G173" s="126" t="s">
        <v>975</v>
      </c>
      <c r="H173" s="276" t="s">
        <v>976</v>
      </c>
      <c r="I173" s="126" t="s">
        <v>18537</v>
      </c>
    </row>
    <row r="174" spans="1:9" ht="40.5">
      <c r="A174" s="126" t="str">
        <f t="shared" si="10"/>
        <v>Declaration</v>
      </c>
      <c r="B174" s="126" t="s">
        <v>821</v>
      </c>
      <c r="D174" s="126" t="s">
        <v>977</v>
      </c>
      <c r="E174" s="240" t="s">
        <v>978</v>
      </c>
      <c r="F174" s="260" t="s">
        <v>979</v>
      </c>
      <c r="G174" s="126" t="s">
        <v>980</v>
      </c>
      <c r="H174" s="276" t="s">
        <v>981</v>
      </c>
      <c r="I174" s="126"/>
    </row>
    <row r="175" spans="1:9" ht="54">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
      <c r="A176" s="126" t="str">
        <f t="shared" si="10"/>
        <v>DeclarationB131</v>
      </c>
      <c r="B176" s="126" t="s">
        <v>821</v>
      </c>
      <c r="C176" s="126" t="s">
        <v>18626</v>
      </c>
      <c r="D176" s="126" t="s">
        <v>982</v>
      </c>
      <c r="E176" s="240" t="s">
        <v>12189</v>
      </c>
      <c r="F176" s="241" t="s">
        <v>983</v>
      </c>
      <c r="G176" s="126" t="s">
        <v>984</v>
      </c>
      <c r="H176" s="282" t="s">
        <v>985</v>
      </c>
      <c r="I176" s="126" t="s">
        <v>18533</v>
      </c>
    </row>
    <row r="177" spans="1:9" ht="40.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0.5">
      <c r="A178" s="126" t="str">
        <f t="shared" si="10"/>
        <v>DeclarationB135</v>
      </c>
      <c r="B178" s="126" t="s">
        <v>821</v>
      </c>
      <c r="C178" s="126" t="s">
        <v>18628</v>
      </c>
      <c r="D178" s="126" t="s">
        <v>986</v>
      </c>
      <c r="E178" s="240" t="s">
        <v>12190</v>
      </c>
      <c r="F178" s="241" t="s">
        <v>987</v>
      </c>
      <c r="G178" s="126" t="s">
        <v>988</v>
      </c>
      <c r="H178" s="276" t="s">
        <v>989</v>
      </c>
      <c r="I178" s="126" t="s">
        <v>18535</v>
      </c>
    </row>
    <row r="179" spans="1:9" ht="28">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
      <c r="A186" s="126" t="str">
        <f t="shared" si="10"/>
        <v>Smelter Look-up</v>
      </c>
      <c r="B186" s="126" t="s">
        <v>1019</v>
      </c>
      <c r="D186" s="126" t="s">
        <v>1035</v>
      </c>
      <c r="E186" s="382"/>
      <c r="F186" s="241" t="s">
        <v>1036</v>
      </c>
      <c r="G186" s="126" t="s">
        <v>1037</v>
      </c>
      <c r="H186" s="276" t="s">
        <v>1038</v>
      </c>
      <c r="I186" s="188" t="s">
        <v>18551</v>
      </c>
    </row>
    <row r="187" spans="1:9" ht="27">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
      <c r="A188" s="126" t="str">
        <f t="shared" si="10"/>
        <v>Smelter Look-upD4</v>
      </c>
      <c r="B188" s="126" t="s">
        <v>1019</v>
      </c>
      <c r="C188" s="126" t="s">
        <v>1044</v>
      </c>
      <c r="D188" s="126" t="s">
        <v>1045</v>
      </c>
      <c r="E188" s="261"/>
      <c r="F188" s="241" t="s">
        <v>1046</v>
      </c>
      <c r="G188" s="126" t="s">
        <v>1047</v>
      </c>
      <c r="H188" s="276" t="s">
        <v>1048</v>
      </c>
      <c r="I188" s="188" t="s">
        <v>18553</v>
      </c>
    </row>
    <row r="189" spans="1:9" ht="27">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
      <c r="A209" s="126" t="str">
        <f t="shared" si="10"/>
        <v>Smelter ListJ2</v>
      </c>
      <c r="B209" s="126" t="s">
        <v>1078</v>
      </c>
      <c r="C209" s="126" t="s">
        <v>1131</v>
      </c>
      <c r="D209" s="126" t="s">
        <v>1132</v>
      </c>
      <c r="E209" s="240" t="s">
        <v>1133</v>
      </c>
      <c r="F209" s="241" t="s">
        <v>1134</v>
      </c>
      <c r="G209" s="126" t="s">
        <v>1135</v>
      </c>
      <c r="H209" s="276" t="s">
        <v>1136</v>
      </c>
      <c r="I209" s="126" t="s">
        <v>18567</v>
      </c>
    </row>
    <row r="210" spans="1:9" ht="26">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0.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
      <c r="A228" s="126" t="str">
        <f t="shared" si="11"/>
        <v>CheckerJ4</v>
      </c>
      <c r="B228" s="126" t="s">
        <v>1154</v>
      </c>
      <c r="C228" s="126" t="s">
        <v>1093</v>
      </c>
      <c r="D228" s="126" t="s">
        <v>1202</v>
      </c>
      <c r="E228" s="240" t="s">
        <v>1203</v>
      </c>
      <c r="F228" s="241" t="s">
        <v>1204</v>
      </c>
      <c r="G228" s="126" t="s">
        <v>1205</v>
      </c>
      <c r="H228" s="276" t="s">
        <v>1206</v>
      </c>
      <c r="I228" s="126" t="s">
        <v>18579</v>
      </c>
    </row>
    <row r="229" spans="1:9" ht="27">
      <c r="A229" s="126" t="str">
        <f t="shared" si="11"/>
        <v>CheckerJ5</v>
      </c>
      <c r="B229" s="126" t="s">
        <v>1154</v>
      </c>
      <c r="C229" s="126" t="s">
        <v>1207</v>
      </c>
      <c r="D229" s="126" t="s">
        <v>1208</v>
      </c>
      <c r="E229" s="240" t="s">
        <v>1209</v>
      </c>
      <c r="F229" s="241" t="s">
        <v>1210</v>
      </c>
      <c r="G229" s="126" t="s">
        <v>1211</v>
      </c>
      <c r="H229" s="276" t="s">
        <v>1212</v>
      </c>
      <c r="I229" s="126" t="s">
        <v>18580</v>
      </c>
    </row>
    <row r="230" spans="1:9" ht="27">
      <c r="A230" s="126" t="str">
        <f t="shared" si="11"/>
        <v>CheckerJ6</v>
      </c>
      <c r="B230" s="126" t="s">
        <v>1154</v>
      </c>
      <c r="C230" s="126" t="s">
        <v>1213</v>
      </c>
      <c r="D230" s="126" t="s">
        <v>1214</v>
      </c>
      <c r="E230" s="240" t="s">
        <v>1215</v>
      </c>
      <c r="F230" s="241" t="s">
        <v>1216</v>
      </c>
      <c r="G230" s="126" t="s">
        <v>1217</v>
      </c>
      <c r="H230" s="276" t="s">
        <v>1218</v>
      </c>
      <c r="I230" s="126" t="s">
        <v>18581</v>
      </c>
    </row>
    <row r="231" spans="1:9" ht="27">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
      <c r="A233" s="126" t="str">
        <f t="shared" si="11"/>
        <v>CheckerJ9</v>
      </c>
      <c r="B233" s="126" t="s">
        <v>1154</v>
      </c>
      <c r="C233" s="126" t="s">
        <v>1225</v>
      </c>
      <c r="D233" s="126" t="s">
        <v>18918</v>
      </c>
      <c r="E233" s="240" t="s">
        <v>19594</v>
      </c>
      <c r="F233" s="241" t="s">
        <v>19660</v>
      </c>
      <c r="G233" s="126" t="s">
        <v>1220</v>
      </c>
      <c r="H233" s="276" t="s">
        <v>1221</v>
      </c>
      <c r="I233" s="126" t="s">
        <v>18582</v>
      </c>
    </row>
    <row r="234" spans="1:9" ht="28">
      <c r="A234" s="126" t="str">
        <f t="shared" si="11"/>
        <v>CheckerJ10</v>
      </c>
      <c r="B234" s="126" t="s">
        <v>1154</v>
      </c>
      <c r="C234" s="126" t="s">
        <v>1228</v>
      </c>
      <c r="D234" s="126" t="s">
        <v>19034</v>
      </c>
      <c r="E234" s="240" t="s">
        <v>19595</v>
      </c>
      <c r="F234" s="241" t="s">
        <v>19661</v>
      </c>
      <c r="G234" s="126" t="s">
        <v>1223</v>
      </c>
      <c r="H234" s="276" t="s">
        <v>1224</v>
      </c>
      <c r="I234" s="126" t="s">
        <v>18583</v>
      </c>
    </row>
    <row r="235" spans="1:9" ht="27">
      <c r="A235" s="126" t="str">
        <f t="shared" si="11"/>
        <v>CheckerJ11</v>
      </c>
      <c r="B235" s="126" t="s">
        <v>1154</v>
      </c>
      <c r="C235" s="126" t="s">
        <v>1231</v>
      </c>
      <c r="D235" s="126" t="s">
        <v>18919</v>
      </c>
      <c r="E235" s="240" t="s">
        <v>19596</v>
      </c>
      <c r="F235" s="241" t="s">
        <v>19662</v>
      </c>
      <c r="G235" s="126" t="s">
        <v>1226</v>
      </c>
      <c r="H235" s="276" t="s">
        <v>1227</v>
      </c>
      <c r="I235" s="126" t="s">
        <v>18584</v>
      </c>
    </row>
    <row r="236" spans="1:9" ht="40.5">
      <c r="A236" s="126" t="str">
        <f t="shared" si="11"/>
        <v>CheckerJ12</v>
      </c>
      <c r="B236" s="126" t="s">
        <v>1154</v>
      </c>
      <c r="C236" s="126" t="s">
        <v>1234</v>
      </c>
      <c r="D236" s="126" t="s">
        <v>18920</v>
      </c>
      <c r="E236" s="240" t="s">
        <v>19597</v>
      </c>
      <c r="F236" s="241" t="s">
        <v>19663</v>
      </c>
      <c r="G236" s="251" t="s">
        <v>1229</v>
      </c>
      <c r="H236" s="276" t="s">
        <v>1230</v>
      </c>
      <c r="I236" s="126" t="s">
        <v>18585</v>
      </c>
    </row>
    <row r="237" spans="1:9" ht="40.5">
      <c r="A237" s="126" t="str">
        <f t="shared" si="11"/>
        <v>CheckerJ13</v>
      </c>
      <c r="B237" s="126" t="s">
        <v>1154</v>
      </c>
      <c r="C237" s="126" t="s">
        <v>1235</v>
      </c>
      <c r="D237" s="126" t="s">
        <v>18921</v>
      </c>
      <c r="E237" s="240" t="s">
        <v>19599</v>
      </c>
      <c r="F237" s="241" t="s">
        <v>19664</v>
      </c>
      <c r="G237" s="251" t="s">
        <v>1232</v>
      </c>
      <c r="H237" s="276" t="s">
        <v>1233</v>
      </c>
      <c r="I237" s="126" t="s">
        <v>18586</v>
      </c>
    </row>
    <row r="238" spans="1:9" ht="27">
      <c r="A238" s="126" t="str">
        <f t="shared" si="11"/>
        <v>CheckerJ15</v>
      </c>
      <c r="B238" s="126" t="s">
        <v>1154</v>
      </c>
      <c r="C238" s="126" t="s">
        <v>1238</v>
      </c>
      <c r="D238" s="126" t="s">
        <v>18922</v>
      </c>
      <c r="E238" s="240" t="s">
        <v>19598</v>
      </c>
      <c r="F238" s="241" t="s">
        <v>19665</v>
      </c>
      <c r="G238" s="126" t="s">
        <v>1236</v>
      </c>
      <c r="H238" s="276" t="s">
        <v>1237</v>
      </c>
      <c r="I238" s="126" t="s">
        <v>18587</v>
      </c>
    </row>
    <row r="239" spans="1:9" ht="40.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0.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0.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0.5">
      <c r="A242" s="126" t="str">
        <f t="shared" si="11"/>
        <v>CheckerJ20</v>
      </c>
      <c r="B242" s="126" t="s">
        <v>1154</v>
      </c>
      <c r="C242" s="126" t="s">
        <v>1241</v>
      </c>
      <c r="D242" s="246" t="s">
        <v>18929</v>
      </c>
      <c r="E242" s="247" t="s">
        <v>19603</v>
      </c>
      <c r="F242" s="253" t="s">
        <v>19919</v>
      </c>
      <c r="G242" s="96" t="s">
        <v>19686</v>
      </c>
      <c r="H242" s="276" t="s">
        <v>19740</v>
      </c>
      <c r="I242" s="126" t="s">
        <v>19794</v>
      </c>
    </row>
    <row r="243" spans="1:9" ht="40.5">
      <c r="A243" s="126" t="str">
        <f t="shared" si="11"/>
        <v>CheckerJ21</v>
      </c>
      <c r="B243" s="126" t="s">
        <v>1154</v>
      </c>
      <c r="C243" s="126" t="s">
        <v>1242</v>
      </c>
      <c r="D243" s="246" t="s">
        <v>18930</v>
      </c>
      <c r="E243" s="247" t="s">
        <v>19604</v>
      </c>
      <c r="F243" s="253" t="s">
        <v>19920</v>
      </c>
      <c r="G243" s="96" t="s">
        <v>19687</v>
      </c>
      <c r="H243" s="276" t="s">
        <v>19741</v>
      </c>
      <c r="I243" s="126" t="s">
        <v>19795</v>
      </c>
    </row>
    <row r="244" spans="1:9" ht="40.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4">
      <c r="A249" s="126" t="str">
        <f t="shared" si="11"/>
        <v>CheckerJ28</v>
      </c>
      <c r="B249" s="126" t="s">
        <v>1154</v>
      </c>
      <c r="C249" s="126" t="s">
        <v>1246</v>
      </c>
      <c r="D249" s="246" t="s">
        <v>18932</v>
      </c>
      <c r="E249" s="247" t="s">
        <v>19606</v>
      </c>
      <c r="F249" s="253" t="s">
        <v>19922</v>
      </c>
      <c r="G249" s="258" t="s">
        <v>19689</v>
      </c>
      <c r="H249" s="276" t="s">
        <v>19743</v>
      </c>
      <c r="I249" s="126" t="s">
        <v>19797</v>
      </c>
    </row>
    <row r="250" spans="1:9" ht="54">
      <c r="A250" s="126" t="str">
        <f t="shared" si="11"/>
        <v>CheckerJ29</v>
      </c>
      <c r="B250" s="126" t="s">
        <v>1154</v>
      </c>
      <c r="C250" s="126" t="s">
        <v>1247</v>
      </c>
      <c r="D250" s="246" t="s">
        <v>18933</v>
      </c>
      <c r="E250" s="247" t="s">
        <v>19607</v>
      </c>
      <c r="F250" s="253" t="s">
        <v>19923</v>
      </c>
      <c r="G250" s="258" t="s">
        <v>19690</v>
      </c>
      <c r="H250" s="276" t="s">
        <v>19744</v>
      </c>
      <c r="I250" s="126" t="s">
        <v>19798</v>
      </c>
    </row>
    <row r="251" spans="1:9" ht="54">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4">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4">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4">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4">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4">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4">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4">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4">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4">
      <c r="A264" s="126" t="str">
        <f t="shared" si="11"/>
        <v>CheckerJ44</v>
      </c>
      <c r="B264" s="126" t="s">
        <v>1154</v>
      </c>
      <c r="C264" s="126" t="s">
        <v>18952</v>
      </c>
      <c r="D264" s="246" t="s">
        <v>19040</v>
      </c>
      <c r="E264" s="247" t="s">
        <v>19617</v>
      </c>
      <c r="F264" s="253" t="s">
        <v>19933</v>
      </c>
      <c r="G264" s="251" t="s">
        <v>19700</v>
      </c>
      <c r="H264" s="276" t="s">
        <v>19754</v>
      </c>
      <c r="I264" s="126" t="s">
        <v>19808</v>
      </c>
    </row>
    <row r="265" spans="1:9">
      <c r="A265" s="126" t="str">
        <f t="shared" si="11"/>
        <v>CheckerJ45</v>
      </c>
      <c r="B265" s="126" t="s">
        <v>1154</v>
      </c>
      <c r="C265" s="126" t="s">
        <v>18953</v>
      </c>
      <c r="D265" s="246"/>
      <c r="E265" s="247"/>
      <c r="F265" s="253"/>
      <c r="G265" s="251"/>
      <c r="H265" s="276"/>
      <c r="I265" s="126"/>
    </row>
    <row r="266" spans="1:9">
      <c r="A266" s="126" t="str">
        <f t="shared" si="11"/>
        <v>CheckerJ46</v>
      </c>
      <c r="B266" s="126" t="s">
        <v>1154</v>
      </c>
      <c r="C266" s="126" t="s">
        <v>18954</v>
      </c>
      <c r="D266" s="246"/>
      <c r="E266" s="247"/>
      <c r="F266" s="253"/>
      <c r="G266" s="251"/>
      <c r="H266" s="276"/>
      <c r="I266" s="126"/>
    </row>
    <row r="267" spans="1:9">
      <c r="A267" s="126" t="str">
        <f t="shared" si="11"/>
        <v>CheckerJ47</v>
      </c>
      <c r="B267" s="126" t="s">
        <v>1154</v>
      </c>
      <c r="C267" s="126" t="s">
        <v>18955</v>
      </c>
      <c r="D267" s="246"/>
      <c r="E267" s="247"/>
      <c r="F267" s="253"/>
      <c r="G267" s="251"/>
      <c r="H267" s="276"/>
      <c r="I267" s="126"/>
    </row>
    <row r="268" spans="1:9">
      <c r="A268" s="126" t="str">
        <f t="shared" si="11"/>
        <v>CheckerJ48</v>
      </c>
      <c r="B268" s="126" t="s">
        <v>1154</v>
      </c>
      <c r="C268" s="126" t="s">
        <v>18956</v>
      </c>
      <c r="D268" s="246"/>
      <c r="E268" s="247"/>
      <c r="F268" s="253"/>
      <c r="G268" s="251"/>
      <c r="H268" s="276"/>
      <c r="I268" s="126"/>
    </row>
    <row r="269" spans="1:9" ht="54">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4">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4">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4">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4">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4">
      <c r="A274" s="126" t="str">
        <f t="shared" si="11"/>
        <v>CheckerJ55</v>
      </c>
      <c r="B274" s="126" t="s">
        <v>1154</v>
      </c>
      <c r="C274" s="126" t="s">
        <v>18962</v>
      </c>
      <c r="D274" s="246" t="s">
        <v>19046</v>
      </c>
      <c r="E274" s="247" t="s">
        <v>19623</v>
      </c>
      <c r="F274" s="253" t="s">
        <v>19939</v>
      </c>
      <c r="G274" s="251" t="s">
        <v>19706</v>
      </c>
      <c r="H274" s="276" t="s">
        <v>19760</v>
      </c>
      <c r="I274" s="126" t="s">
        <v>19814</v>
      </c>
    </row>
    <row r="275" spans="1:9">
      <c r="A275" s="126" t="str">
        <f t="shared" si="11"/>
        <v>CheckerJ56</v>
      </c>
      <c r="B275" s="126" t="s">
        <v>1154</v>
      </c>
      <c r="C275" s="126" t="s">
        <v>18963</v>
      </c>
      <c r="D275" s="246"/>
      <c r="E275" s="247"/>
      <c r="F275" s="253"/>
      <c r="G275" s="251"/>
      <c r="H275" s="276"/>
      <c r="I275" s="126"/>
    </row>
    <row r="276" spans="1:9">
      <c r="A276" s="126" t="str">
        <f t="shared" si="11"/>
        <v>CheckerJ57</v>
      </c>
      <c r="B276" s="126" t="s">
        <v>1154</v>
      </c>
      <c r="C276" s="126" t="s">
        <v>18964</v>
      </c>
      <c r="D276" s="246"/>
      <c r="E276" s="247"/>
      <c r="F276" s="253"/>
      <c r="G276" s="251"/>
      <c r="H276" s="276"/>
      <c r="I276" s="126"/>
    </row>
    <row r="277" spans="1:9">
      <c r="A277" s="126" t="str">
        <f t="shared" si="11"/>
        <v>CheckerJ58</v>
      </c>
      <c r="B277" s="126" t="s">
        <v>1154</v>
      </c>
      <c r="C277" s="126" t="s">
        <v>18965</v>
      </c>
      <c r="D277" s="246"/>
      <c r="E277" s="247"/>
      <c r="F277" s="253"/>
      <c r="G277" s="251"/>
      <c r="H277" s="276"/>
      <c r="I277" s="126"/>
    </row>
    <row r="278" spans="1:9">
      <c r="A278" s="126" t="str">
        <f t="shared" si="11"/>
        <v>CheckerJ59</v>
      </c>
      <c r="B278" s="126" t="s">
        <v>1154</v>
      </c>
      <c r="C278" s="126" t="s">
        <v>18966</v>
      </c>
      <c r="D278" s="246"/>
      <c r="E278" s="247"/>
      <c r="F278" s="253"/>
      <c r="G278" s="251"/>
      <c r="H278" s="276"/>
      <c r="I278" s="126"/>
    </row>
    <row r="279" spans="1:9" ht="40.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0.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0.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0.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0.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0.5">
      <c r="A284" s="126" t="str">
        <f t="shared" si="12"/>
        <v>CheckerJ66</v>
      </c>
      <c r="B284" s="126" t="s">
        <v>1154</v>
      </c>
      <c r="C284" s="126" t="s">
        <v>18972</v>
      </c>
      <c r="D284" s="126" t="s">
        <v>19052</v>
      </c>
      <c r="E284" s="240" t="s">
        <v>19629</v>
      </c>
      <c r="F284" s="241" t="s">
        <v>19671</v>
      </c>
      <c r="G284" s="251" t="s">
        <v>19712</v>
      </c>
      <c r="H284" s="276" t="s">
        <v>19766</v>
      </c>
      <c r="I284" s="126" t="s">
        <v>19820</v>
      </c>
    </row>
    <row r="285" spans="1:9">
      <c r="A285" s="126" t="str">
        <f t="shared" si="12"/>
        <v>CheckerJ67</v>
      </c>
      <c r="B285" s="126" t="s">
        <v>1154</v>
      </c>
      <c r="C285" s="126" t="s">
        <v>18973</v>
      </c>
      <c r="G285" s="311"/>
      <c r="H285" s="276"/>
      <c r="I285" s="126"/>
    </row>
    <row r="286" spans="1:9">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4">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 customHeight="1">
      <c r="A295" s="126" t="str">
        <f t="shared" si="12"/>
        <v>CheckerJ78</v>
      </c>
      <c r="B295" s="126" t="s">
        <v>1154</v>
      </c>
      <c r="C295" s="126" t="s">
        <v>18981</v>
      </c>
      <c r="G295"/>
      <c r="H295" s="276"/>
    </row>
    <row r="296" spans="1:9" ht="52" customHeight="1">
      <c r="A296" s="126" t="str">
        <f t="shared" si="12"/>
        <v>CheckerJ79</v>
      </c>
      <c r="B296" s="126" t="s">
        <v>1154</v>
      </c>
      <c r="C296" s="126" t="s">
        <v>18982</v>
      </c>
      <c r="G296"/>
      <c r="H296" s="276"/>
    </row>
    <row r="297" spans="1:9" ht="52"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0.5">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0.5">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0.5">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0.5">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0.5">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0.5">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1">
      <c r="A311" s="126" t="str">
        <f t="shared" si="12"/>
        <v>CheckerJ96</v>
      </c>
      <c r="B311" s="126" t="s">
        <v>1154</v>
      </c>
      <c r="C311" s="126" t="s">
        <v>18999</v>
      </c>
      <c r="D311" s="126" t="s">
        <v>19001</v>
      </c>
      <c r="E311" s="244" t="s">
        <v>19644</v>
      </c>
      <c r="F311" s="266" t="s">
        <v>1248</v>
      </c>
      <c r="G311" s="248" t="s">
        <v>1249</v>
      </c>
      <c r="H311" s="276" t="s">
        <v>1250</v>
      </c>
      <c r="I311" s="126" t="s">
        <v>18588</v>
      </c>
    </row>
    <row r="312" spans="1:9" ht="67.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7.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7.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7.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7.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7.5">
      <c r="A317" s="126" t="str">
        <f t="shared" si="12"/>
        <v>CheckerJ103</v>
      </c>
      <c r="B317" s="126" t="s">
        <v>1154</v>
      </c>
      <c r="C317" s="126" t="s">
        <v>19012</v>
      </c>
      <c r="D317" s="246" t="s">
        <v>19013</v>
      </c>
      <c r="E317" s="247" t="s">
        <v>19650</v>
      </c>
      <c r="F317" s="253" t="s">
        <v>19951</v>
      </c>
      <c r="G317" s="251" t="s">
        <v>19732</v>
      </c>
      <c r="H317" s="276" t="s">
        <v>19786</v>
      </c>
      <c r="I317" s="126" t="s">
        <v>19840</v>
      </c>
    </row>
    <row r="318" spans="1:9">
      <c r="A318" s="126" t="str">
        <f t="shared" si="12"/>
        <v>CheckerJ104</v>
      </c>
      <c r="B318" s="126" t="s">
        <v>1154</v>
      </c>
      <c r="C318" s="126" t="s">
        <v>19014</v>
      </c>
      <c r="D318" s="246"/>
      <c r="E318" s="247"/>
      <c r="F318" s="253"/>
      <c r="G318" s="310"/>
      <c r="H318" s="276"/>
      <c r="I318" s="126"/>
    </row>
    <row r="319" spans="1:9">
      <c r="A319" s="126" t="str">
        <f t="shared" si="12"/>
        <v>CheckerJ105</v>
      </c>
      <c r="B319" s="126" t="s">
        <v>1154</v>
      </c>
      <c r="C319" s="126" t="s">
        <v>19015</v>
      </c>
      <c r="D319" s="246"/>
      <c r="E319" s="247"/>
      <c r="F319" s="253"/>
      <c r="G319" s="310"/>
      <c r="H319" s="276"/>
      <c r="I319" s="126"/>
    </row>
    <row r="320" spans="1:9">
      <c r="A320" s="126" t="str">
        <f t="shared" si="12"/>
        <v>CheckerJ106</v>
      </c>
      <c r="B320" s="126" t="s">
        <v>1154</v>
      </c>
      <c r="C320" s="126" t="s">
        <v>19016</v>
      </c>
      <c r="D320" s="246"/>
      <c r="E320" s="247"/>
      <c r="F320" s="253"/>
      <c r="G320" s="310"/>
      <c r="H320" s="276"/>
      <c r="I320" s="126"/>
    </row>
    <row r="321" spans="1:9">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0.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5"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0.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4">
      <c r="A326" s="126" t="str">
        <f t="shared" si="12"/>
        <v>CheckerJ112</v>
      </c>
      <c r="B326" s="126" t="s">
        <v>1154</v>
      </c>
      <c r="C326" s="126" t="s">
        <v>19024</v>
      </c>
      <c r="D326" s="126" t="s">
        <v>19025</v>
      </c>
      <c r="E326" s="267" t="s">
        <v>19655</v>
      </c>
      <c r="F326" s="241" t="s">
        <v>1251</v>
      </c>
      <c r="G326" s="126" t="s">
        <v>1252</v>
      </c>
      <c r="H326" s="276" t="s">
        <v>1253</v>
      </c>
      <c r="I326" s="126" t="s">
        <v>18589</v>
      </c>
    </row>
    <row r="327" spans="1:9" ht="40.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0.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0.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0.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0.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0.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0.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 customHeight="1">
      <c r="A336" s="126" t="str">
        <f t="shared" si="12"/>
        <v>Checker</v>
      </c>
      <c r="B336" s="126" t="s">
        <v>1154</v>
      </c>
      <c r="D336" s="126" t="s">
        <v>1259</v>
      </c>
      <c r="E336" s="244" t="s">
        <v>1260</v>
      </c>
      <c r="F336" s="241" t="s">
        <v>1261</v>
      </c>
      <c r="G336" s="248" t="s">
        <v>1262</v>
      </c>
      <c r="H336" s="276" t="s">
        <v>1263</v>
      </c>
      <c r="I336" s="126" t="s">
        <v>18592</v>
      </c>
    </row>
    <row r="337" spans="1:9" ht="28">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7">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5">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5">
      <c r="A346" s="347" t="str">
        <f t="shared" si="13"/>
        <v>Mine ListC4</v>
      </c>
      <c r="B346" s="347" t="s">
        <v>19069</v>
      </c>
      <c r="C346" s="347" t="s">
        <v>733</v>
      </c>
      <c r="D346" s="349" t="s">
        <v>19076</v>
      </c>
      <c r="E346" s="348" t="s">
        <v>19077</v>
      </c>
      <c r="F346" s="347" t="s">
        <v>19078</v>
      </c>
      <c r="G346" s="347" t="s">
        <v>19079</v>
      </c>
      <c r="H346" s="347" t="s">
        <v>19080</v>
      </c>
    </row>
    <row r="347" spans="1:9" s="350" customFormat="1" ht="13.5">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5">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5">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5">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2">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5">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5">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1">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7.5">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7">
      <c r="A366" s="126" t="s">
        <v>1003</v>
      </c>
      <c r="D366" s="126" t="s">
        <v>1297</v>
      </c>
      <c r="E366" s="240" t="s">
        <v>1298</v>
      </c>
      <c r="F366" s="241" t="s">
        <v>1299</v>
      </c>
      <c r="G366" s="127" t="s">
        <v>1300</v>
      </c>
      <c r="H366" s="276" t="s">
        <v>1301</v>
      </c>
    </row>
    <row r="367" spans="1:9" ht="54">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9C676B41-75EB-4370-B1C5-3146B646B748}"/>
    </customSheetView>
    <customSheetView guid="{C59130F4-2E03-5E48-94CE-6E4A0484DB9E}" showAutoFilter="1">
      <selection activeCell="E4" sqref="E4"/>
      <pageMargins left="0" right="0" top="0" bottom="0" header="0" footer="0"/>
      <pageSetup paperSize="9" orientation="portrait"/>
      <headerFooter alignWithMargins="0"/>
      <autoFilter ref="B1:N1" xr:uid="{8783C70F-DA91-41D2-8895-96B75FC2D84C}"/>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7" customWidth="1"/>
    <col min="2" max="2" width="57" style="57" customWidth="1"/>
    <col min="3" max="16384" width="8.69140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4375" defaultRowHeight="13.5"/>
  <cols>
    <col min="2" max="2" width="27.3046875" customWidth="1"/>
    <col min="3" max="3" width="15.304687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2D0E7BA4-42FF-4D42-87BB-7F2BF3A85211}"/>
    </customSheetView>
    <customSheetView guid="{C59130F4-2E03-5E48-94CE-6E4A0484DB9E}" showAutoFilter="1">
      <selection activeCell="C1" sqref="C1:D65536"/>
      <pageMargins left="0" right="0" top="0" bottom="0" header="0" footer="0"/>
      <pageSetup orientation="portrait"/>
      <headerFooter alignWithMargins="0"/>
      <autoFilter ref="B1:C1" xr:uid="{802A023E-3191-4096-B5AB-97EBEED3A5E0}"/>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Hitomi Omae/大前 比登美</cp:lastModifiedBy>
  <cp:revision/>
  <dcterms:created xsi:type="dcterms:W3CDTF">2010-06-21T21:00:23Z</dcterms:created>
  <dcterms:modified xsi:type="dcterms:W3CDTF">2025-08-19T05:35:26Z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